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75" windowWidth="15480" windowHeight="9120" activeTab="0"/>
  </bookViews>
  <sheets>
    <sheet name="írószer" sheetId="1" r:id="rId1"/>
  </sheets>
  <definedNames/>
  <calcPr fullCalcOnLoad="1"/>
</workbook>
</file>

<file path=xl/sharedStrings.xml><?xml version="1.0" encoding="utf-8"?>
<sst xmlns="http://schemas.openxmlformats.org/spreadsheetml/2006/main" count="660" uniqueCount="311">
  <si>
    <t xml:space="preserve">240X12"                             </t>
  </si>
  <si>
    <t xml:space="preserve">LEPORELLÓS 240 MMX8"                </t>
  </si>
  <si>
    <t>ROSTIRON (ALKOHOLOS) VASTAG</t>
  </si>
  <si>
    <t>KÖRHEGYŰ-FEKETE</t>
  </si>
  <si>
    <t>KÖRHEGYŰ-PIROS</t>
  </si>
  <si>
    <t>KÖRHEGYŰ-ZÖLD</t>
  </si>
  <si>
    <t>KÖRHEGYŰ-KÉK</t>
  </si>
  <si>
    <t>10-KICSI</t>
  </si>
  <si>
    <t>SÁRGA</t>
  </si>
  <si>
    <t>KÉK</t>
  </si>
  <si>
    <t>NARANCS</t>
  </si>
  <si>
    <t>RW</t>
  </si>
  <si>
    <t>HB</t>
  </si>
  <si>
    <t>TÉPŐTÖMB (ONIX)ÖNTAPADÓS</t>
  </si>
  <si>
    <t>TÉPŐTÖMB (POST-IT) ÖNTAPADÓS</t>
  </si>
  <si>
    <t>TŰZŐGÉP</t>
  </si>
  <si>
    <t>STANLEY</t>
  </si>
  <si>
    <t>TŰZŐGÉP KAPOCS</t>
  </si>
  <si>
    <t>db</t>
  </si>
  <si>
    <t>cso.</t>
  </si>
  <si>
    <t>FÉNYMÁSOLÓ PAPÍR (XEROX) 500 ív/cso.</t>
  </si>
  <si>
    <t>VONALZÓ (MŰANYAG)</t>
  </si>
  <si>
    <t>TŰZŐGÉP KAPOCS 1000 db /doboz</t>
  </si>
  <si>
    <t>dob.</t>
  </si>
  <si>
    <t>tek.</t>
  </si>
  <si>
    <t>A/4</t>
  </si>
  <si>
    <t>FÜZET (SPIRÁL) KOCKÁS</t>
  </si>
  <si>
    <t>ív</t>
  </si>
  <si>
    <t>KÉK SZÍNŰ</t>
  </si>
  <si>
    <t>ROSTIRON  (VIZES BÁZISÚ) VÉKONY</t>
  </si>
  <si>
    <t>PENTEL ULTRA FINE PIROS</t>
  </si>
  <si>
    <t>IRATRENDEZŐ (ÉLVÉDŐS) HERLITZ</t>
  </si>
  <si>
    <t>RAGASZTÓ SZALAG (CELLUX)+TÉPŐ</t>
  </si>
  <si>
    <t>NAGY TEKERCS 19MM-ES</t>
  </si>
  <si>
    <t>A/4 (SPIRÁLOZÓHOZ)</t>
  </si>
  <si>
    <t>CERUZA (GRAFIT) CONTE</t>
  </si>
  <si>
    <t>X</t>
  </si>
  <si>
    <t>CERUZABETÉT (PIXIRON) HB</t>
  </si>
  <si>
    <t>ROSTIRON (ALKOHOLOS)</t>
  </si>
  <si>
    <t>EDDING 140S ZÖLD</t>
  </si>
  <si>
    <t>EDDING 140S FEKETE</t>
  </si>
  <si>
    <t>EDDING 140S PIROS</t>
  </si>
  <si>
    <t>EDDING 140S KÉK</t>
  </si>
  <si>
    <t>10-ES MÉRETŰ KAPCSOS</t>
  </si>
  <si>
    <t>A/7</t>
  </si>
  <si>
    <t>KÉK SZÍNŰ BETÉTTEL</t>
  </si>
  <si>
    <t>PENTEL ULTRA FINE KÉK</t>
  </si>
  <si>
    <t>LC5 / FEHÉR SZÍNŰ</t>
  </si>
  <si>
    <t>LC6 / FEHÉR SZÍNŰ</t>
  </si>
  <si>
    <t>VÁGOTTHEGYŰ-FEKETE</t>
  </si>
  <si>
    <t>25 MM-ES (12db/dob.)</t>
  </si>
  <si>
    <t>19 MM-ES (12db/dob.)</t>
  </si>
  <si>
    <t>15 MM-ES (12db/dob.)</t>
  </si>
  <si>
    <t>32 MM-ES (12db/dob.)</t>
  </si>
  <si>
    <t>CD-R LEMEZ (MŰANYAG VÉKONY TOKOS)</t>
  </si>
  <si>
    <t xml:space="preserve">700MB  (VERBATIM, TDK) </t>
  </si>
  <si>
    <t>ZSEBNOTESZ (SPIRÁLFŰZÉSES)</t>
  </si>
  <si>
    <t>PAPÍRSZALVÉTA (FEHÉR SZÍNŰ)</t>
  </si>
  <si>
    <t>MINŐSÉGI !</t>
  </si>
  <si>
    <t>A/4 / SZÍNES</t>
  </si>
  <si>
    <t xml:space="preserve">MŰANYAG, OLDALT PATENTOS TASAK </t>
  </si>
  <si>
    <t>LEFŰZHETŐ (BORÍTÉK JELLEGŰ)</t>
  </si>
  <si>
    <t>GENOTHERMA (OLDALT FELNYÍLÓ) A/4</t>
  </si>
  <si>
    <t>SZÖVEGKIEMELŐ (FABER CASTELL TEXTLINER)</t>
  </si>
  <si>
    <t xml:space="preserve">GOLYÓSTOLL (SOLIDLY) </t>
  </si>
  <si>
    <t>ETIKETT CIMKE A/4</t>
  </si>
  <si>
    <t>TŰZŐGÉP (KIS KAPCSOS) JÓ MINŐSÉGŰ !</t>
  </si>
  <si>
    <t>FEHÉR SZÍNŰ HÁTLAPPAL</t>
  </si>
  <si>
    <t>GENOTHERMA (LEFŰZHETŐS) VÍZTISZTA !</t>
  </si>
  <si>
    <t>FÜZET (BEÍRÓ) VONALAS 200 LAPOS - PVC FEDELŰ</t>
  </si>
  <si>
    <t>MAPPA (VILLÁMZÁRAS) FEKETE SZÍNŰ</t>
  </si>
  <si>
    <t>ASZTALI KÖNYÖKLŐ NAPTÁR</t>
  </si>
  <si>
    <t>SZALAGOS IROMÁNYFEDÉL</t>
  </si>
  <si>
    <t>PENTEL ULTRA FINE ZÖLD</t>
  </si>
  <si>
    <t>GOLYÓSTOLL (ZEBRA SUPER FINE H8000)</t>
  </si>
  <si>
    <t>FÜZET (FRANCIA KOCKÁS)</t>
  </si>
  <si>
    <t>RAGASZTÓ SZALAG (HAVANNA) BARNA</t>
  </si>
  <si>
    <t>5CM SZÉLES</t>
  </si>
  <si>
    <t>FEHÉR SZÍNŰ 5 CM-ES</t>
  </si>
  <si>
    <t>HIBAJAVÍTÓ FESTÉK (ECSETES)</t>
  </si>
  <si>
    <t>HÍGÍTÓ NÉLKÜLI</t>
  </si>
  <si>
    <t>A/4 FEKVŐ HELYZETŰ</t>
  </si>
  <si>
    <t>FÜZET (VONALAS)</t>
  </si>
  <si>
    <t>ZÖLD SZÍNŰ 5 CM-ES</t>
  </si>
  <si>
    <t>PIROS SZÍNŰ HÁTLAPPAL</t>
  </si>
  <si>
    <t>ZÖLD SZÍNŰ HÁTLAPPAL</t>
  </si>
  <si>
    <t>SÖTÉTKÉK SZÍNŰ HÁTLAPPAL</t>
  </si>
  <si>
    <t>ETIKETT CIMKE A/5</t>
  </si>
  <si>
    <t>ETIKETT CIMKE A/6</t>
  </si>
  <si>
    <t>ETIKETT CIMKE A/7</t>
  </si>
  <si>
    <t>ETIKETT CIMKE A/8</t>
  </si>
  <si>
    <t>ETIKETT CIMKE A/9</t>
  </si>
  <si>
    <t>ETIKETT CIMKE A/10</t>
  </si>
  <si>
    <t>ETIKETT CIMKE A/11</t>
  </si>
  <si>
    <t>ZÖLD SZÍNŰ 7,5 CM-ES</t>
  </si>
  <si>
    <t>RAGASZTÓ (PILLANATRAGASZTÓ)</t>
  </si>
  <si>
    <t>ZÖLD</t>
  </si>
  <si>
    <t>GOLYÓSTOLL BETÉT (ZEBRA F301) RÚGÓS</t>
  </si>
  <si>
    <t>KISS MÉRETŰ</t>
  </si>
  <si>
    <t>TC4 / FEHÉR SZÍNŰ</t>
  </si>
  <si>
    <t>DÁTUMBÉLYEGZŐ (TRODAT PRINTY 4810)</t>
  </si>
  <si>
    <t>CERUZAHEGYEZŐ (ASZTALI-KÉZI TEKERŐS)</t>
  </si>
  <si>
    <t>JOBB MINŐSÉGŰ !</t>
  </si>
  <si>
    <t>GOLYÓSTOLL (ÜGYFELES)</t>
  </si>
  <si>
    <t>FEHÉR SZÍNŰ 7, 5 CM-ES</t>
  </si>
  <si>
    <t>GÉMKAPOCS TARTÓ (NAGY MÉRETŰ)</t>
  </si>
  <si>
    <t>MÁGNESES</t>
  </si>
  <si>
    <t>ASZTALRA VÍZSZINTESEN HELYEZHETŐ !</t>
  </si>
  <si>
    <t>KÉK SZÍNŰ 7,5 CM-ES</t>
  </si>
  <si>
    <t>DELI 5556 TIPUSÚ (FOGANTYÚS, OLDALT PATENTOS)</t>
  </si>
  <si>
    <t>IRATRENDEZŐ TÁSKA (HARMÓNIKÁS BELSŐRÉSZ)</t>
  </si>
  <si>
    <t>ZSEBSZÁMOLÓGÉP</t>
  </si>
  <si>
    <t>FELÍRÓTÁBLA</t>
  </si>
  <si>
    <t>IRATSPIRÁL (MŰANYAG)</t>
  </si>
  <si>
    <t>6MM-ES (FEHÉR)</t>
  </si>
  <si>
    <t>10MM-ES (FEHÉR)</t>
  </si>
  <si>
    <t>19MM-ES (FEHÉR)</t>
  </si>
  <si>
    <t>A/4 FEHÉR</t>
  </si>
  <si>
    <t>LYUKASZTÓGÉP (SAX)</t>
  </si>
  <si>
    <t>20X50MM ( NEON SZÍNBEN!)</t>
  </si>
  <si>
    <t>KÉK SZÍNŰ 5 CM-ES</t>
  </si>
  <si>
    <t>PENTEL ULTRA FINE FEKETE</t>
  </si>
  <si>
    <t>VÁGOTTHEGYŰ-KÉK</t>
  </si>
  <si>
    <t>ETIKETT CIMKE A/12</t>
  </si>
  <si>
    <t>105X037 MM</t>
  </si>
  <si>
    <t>099,1X57 MM</t>
  </si>
  <si>
    <t>052,5X29,7 MM</t>
  </si>
  <si>
    <t xml:space="preserve">KÉK SZÍNŰ </t>
  </si>
  <si>
    <t>TÉRKÉPTŰ</t>
  </si>
  <si>
    <t>PAPÍRVÁGÓ OLLÓ</t>
  </si>
  <si>
    <t>KÖZEPES MÉRETŰ</t>
  </si>
  <si>
    <t>RÓZSASZÍN</t>
  </si>
  <si>
    <t>A/4 / FEHÉR SZÍNŰ</t>
  </si>
  <si>
    <t>A/4 / SZÜRKE SZÍNŰ</t>
  </si>
  <si>
    <t>FEKFŐ HELYZETŰ (KB. 30X15CM-ES)</t>
  </si>
  <si>
    <t>ASZTALI NAPTÁRHÁT</t>
  </si>
  <si>
    <t>FEKFŐ HELYZETŰ (KB. 30X15CM-ES) naptárhoz</t>
  </si>
  <si>
    <t>DARAB MATRICÁS (NEM FOLYAMATOS !)</t>
  </si>
  <si>
    <t>ELŐLAP (IRATSPIRÁLOZÁSHOZ)</t>
  </si>
  <si>
    <t>TÉPŐTÖMB (FEHÉR)  KEMÉNY LAPKÁS !</t>
  </si>
  <si>
    <t>LAPSZÉLJELÖLŐ (PAPIRBÓL) POST IT</t>
  </si>
  <si>
    <t>CASIO MS-20S</t>
  </si>
  <si>
    <t>BORÍTÉK (ÖNTAPADÓS) SZILIKONOS</t>
  </si>
  <si>
    <t>TB4 /TALPAS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</si>
  <si>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</si>
  <si>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</si>
  <si>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</si>
  <si>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</si>
  <si>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</si>
  <si>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</si>
  <si>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</si>
  <si>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</si>
  <si>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</si>
  <si>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</si>
  <si>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</si>
  <si>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</si>
  <si>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</si>
  <si>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</si>
  <si>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</si>
  <si>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</si>
  <si>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</si>
  <si>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</si>
  <si>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</si>
  <si>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</si>
  <si>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</si>
  <si>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</si>
  <si>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</si>
  <si>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</si>
  <si>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</si>
  <si>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</si>
  <si>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</si>
  <si>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</si>
  <si>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</si>
  <si>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</si>
  <si>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</si>
  <si>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</si>
  <si>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</si>
  <si>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</si>
  <si>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</si>
  <si>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</si>
  <si>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</si>
  <si>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</si>
  <si>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</si>
  <si>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</si>
  <si>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</si>
  <si>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</si>
  <si>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</si>
  <si>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</si>
  <si>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</si>
  <si>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</si>
  <si>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</si>
  <si>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</si>
  <si>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</si>
  <si>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</si>
  <si>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</si>
  <si>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</si>
  <si>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</si>
  <si>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</si>
  <si>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</si>
  <si>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</si>
  <si>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</si>
  <si>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</si>
  <si>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</si>
  <si>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</si>
  <si>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</si>
  <si>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</si>
  <si>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</si>
  <si>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</si>
  <si>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</si>
  <si>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</si>
  <si>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</si>
  <si>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</si>
  <si>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</si>
  <si>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</si>
  <si>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</si>
  <si>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</si>
  <si>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</si>
  <si>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</si>
  <si>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</si>
  <si>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</si>
  <si>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</si>
  <si>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</si>
  <si>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</si>
  <si>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</si>
  <si>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</si>
  <si>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</si>
  <si>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</si>
  <si>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</si>
  <si>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</si>
  <si>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</si>
  <si>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</si>
  <si>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</si>
  <si>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</si>
  <si>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</si>
  <si>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</si>
  <si>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</si>
  <si>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</si>
  <si>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</si>
  <si>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</si>
  <si>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</si>
  <si>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</si>
  <si>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</si>
  <si>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</si>
  <si>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</si>
  <si>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</si>
  <si>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</si>
  <si>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</si>
  <si>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</si>
  <si>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</si>
  <si>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</si>
  <si>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</si>
  <si>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</si>
  <si>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</si>
  <si>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</si>
  <si>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</si>
  <si>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</si>
  <si>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</si>
  <si>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</si>
  <si>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</si>
  <si>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</si>
  <si>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</si>
  <si>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</si>
  <si>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</si>
  <si>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</si>
  <si>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TŰZŐGÉP (NORMÁL KAPCSOS) JÓ MINŐSÉGŰ !</t>
  </si>
  <si>
    <t>24/6-OS MÉRETŰ KAPCSOS</t>
  </si>
  <si>
    <t>FÜZET (SPIRÁL) VONALAS</t>
  </si>
  <si>
    <t>24/6-NORMÁL (MEMORIS-PRECIOUS !)</t>
  </si>
  <si>
    <t>10-ES MÉRETŰ-KICSI (MEMORIS-PRECIOUS !)</t>
  </si>
  <si>
    <t>30 CM-ES (NEM ÁTLÁTSZÓ ANYAGBÓL !)</t>
  </si>
  <si>
    <t>LAPSZÉLJELÖLŐ  (MAG OFFICE) NYÍL FORMA</t>
  </si>
  <si>
    <t>5X25 DB-OS 12MMX45MM  ART N.5564005-62</t>
  </si>
  <si>
    <t>GOLYÓSTOLL (ZSELÉS) PENTEL ENERGEL</t>
  </si>
  <si>
    <t xml:space="preserve">0,7 MM-ES KÉK SZÍNŰ BETÉTTEL </t>
  </si>
  <si>
    <t>KLASSZIKUS  - ÉRINTŐ VÉGŰ !</t>
  </si>
  <si>
    <t>HIBAJAVÍTÓ ROLLER (FOROFFICE TIPUSÚ !)</t>
  </si>
  <si>
    <t xml:space="preserve">IRATRENDEZŐ (TOKOS) </t>
  </si>
  <si>
    <t>A/5</t>
  </si>
  <si>
    <t>A/6</t>
  </si>
  <si>
    <t>A/8</t>
  </si>
  <si>
    <t>A/4 - KÉK SZÍNŰ</t>
  </si>
  <si>
    <t>A/4 - ZÖLD SZÍNŰ</t>
  </si>
  <si>
    <t>A/4 - NARANCS SZÍNŰ</t>
  </si>
  <si>
    <t>A/4 - SÁRGA SZÍNŰ</t>
  </si>
  <si>
    <t>A/4 - NATUR</t>
  </si>
  <si>
    <t xml:space="preserve">0,7 MM-ES FEKETE SZÍNŰ BETÉTTEL </t>
  </si>
  <si>
    <t>VÁGOTTHEGYŰ-PIROS</t>
  </si>
  <si>
    <t>2018 ÉVRE !</t>
  </si>
  <si>
    <t>ASZTALI NAPTÁR 2018 ÉVRE !</t>
  </si>
  <si>
    <t>6,4 MM-ES</t>
  </si>
  <si>
    <t>IRATCSÍPTETŐ KAPOCS (MAGIC CLIPS) 50DB/DOBOZ</t>
  </si>
  <si>
    <t xml:space="preserve">GOLYÓSTOLL (SIGNETTA) </t>
  </si>
  <si>
    <t>A/4" 210X297 MM</t>
  </si>
  <si>
    <t>GOLYÓSTOLL (4 SZÍNŰ) FÉMHÁZAS</t>
  </si>
  <si>
    <t>A/4  230X297 MM  (BŐ A/4 MÉRET !)</t>
  </si>
  <si>
    <t>HÁTLAP IRATSPIRÁLOZÁSHOZ</t>
  </si>
  <si>
    <t>A/4 ÁTLÁTSZÓ</t>
  </si>
  <si>
    <t>70,0X36 MM</t>
  </si>
  <si>
    <t>STANDARD - JÓ MINŐSÉGŰ !</t>
  </si>
  <si>
    <t>99X38 MM</t>
  </si>
  <si>
    <t>LYUKASZTÓGÉP (ESSELTE D60)</t>
  </si>
  <si>
    <t xml:space="preserve">2017  2. féléves írószer árajánlat bekérő </t>
  </si>
  <si>
    <t>s.sz.</t>
  </si>
  <si>
    <t>Anyag megnevezés</t>
  </si>
  <si>
    <t>Egyéb megnevezés/ Méret</t>
  </si>
  <si>
    <t>Mennyiség</t>
  </si>
  <si>
    <t>Egységár (Ft)</t>
  </si>
  <si>
    <t>Érték (Ft)</t>
  </si>
  <si>
    <t>összesen:(Ft)</t>
  </si>
  <si>
    <r>
      <t xml:space="preserve">DOSSZIÉ (MŰANYAG HÁTLAPOS) </t>
    </r>
    <r>
      <rPr>
        <sz val="8"/>
        <color indexed="10"/>
        <rFont val="Arial CE"/>
        <family val="1"/>
      </rPr>
      <t>TOVÁBB FŰZŐS !</t>
    </r>
  </si>
  <si>
    <r>
      <t xml:space="preserve">GOLYÓSTOLL (ZEBRA F-301)" </t>
    </r>
    <r>
      <rPr>
        <sz val="8"/>
        <color indexed="10"/>
        <rFont val="Arial CE"/>
        <family val="1"/>
      </rPr>
      <t>EREDETI ZEBRA !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</si>
</sst>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8"/>
      <color indexed="10"/>
      <name val="Arial CE"/>
      <family val="0"/>
    </font>
    <font>
      <b/>
      <sz val="8"/>
      <color indexed="60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8"/>
      <name val="Arial CE"/>
      <family val="0"/>
    </font>
    <font>
      <sz val="8"/>
      <color indexed="10"/>
      <name val="Arial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/>
    </xf>
    <xf numFmtId="0" fontId="7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7" fillId="32" borderId="11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9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50" fillId="32" borderId="10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2" fillId="32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3" fillId="0" borderId="15" xfId="0" applyFont="1" applyBorder="1" applyAlignment="1">
      <alignment/>
    </xf>
    <xf numFmtId="0" fontId="29" fillId="33" borderId="0" xfId="0" applyFont="1" applyFill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9" fillId="0" borderId="0" xfId="0" applyFont="1" applyBorder="1" applyAlignment="1">
      <alignment vertical="center"/>
    </xf>
    <xf numFmtId="0" fontId="7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R360"/>
  <sheetViews>
    <sheetView tabSelected="1" zoomScale="110" zoomScaleNormal="110" zoomScalePageLayoutView="0" workbookViewId="0" topLeftCell="A1">
      <selection activeCell="A738" sqref="A738:IV1433"/>
    </sheetView>
  </sheetViews>
  <sheetFormatPr defaultColWidth="9.00390625" defaultRowHeight="12.75"/>
  <cols>
    <col min="1" max="1" width="7.25390625" style="21" bestFit="1" customWidth="1"/>
    <col min="2" max="2" width="43.00390625" style="1" customWidth="1"/>
    <col min="3" max="3" width="42.125" style="1" customWidth="1"/>
    <col min="4" max="4" width="3.625" style="11" hidden="1" customWidth="1"/>
    <col min="5" max="5" width="3.00390625" style="2" hidden="1" customWidth="1"/>
    <col min="6" max="6" width="3.375" style="11" hidden="1" customWidth="1"/>
    <col min="7" max="7" width="4.375" style="11" hidden="1" customWidth="1"/>
    <col min="8" max="8" width="4.25390625" style="11" hidden="1" customWidth="1"/>
    <col min="9" max="9" width="3.00390625" style="11" hidden="1" customWidth="1"/>
    <col min="10" max="10" width="3.625" style="11" hidden="1" customWidth="1"/>
    <col min="11" max="11" width="3.00390625" style="11" hidden="1" customWidth="1"/>
    <col min="12" max="12" width="3.625" style="11" hidden="1" customWidth="1"/>
    <col min="13" max="13" width="3.00390625" style="11" hidden="1" customWidth="1"/>
    <col min="14" max="14" width="4.00390625" style="11" hidden="1" customWidth="1"/>
    <col min="15" max="15" width="3.00390625" style="11" hidden="1" customWidth="1"/>
    <col min="16" max="16" width="3.375" style="11" hidden="1" customWidth="1"/>
    <col min="17" max="17" width="3.875" style="11" hidden="1" customWidth="1"/>
    <col min="18" max="18" width="3.25390625" style="11" hidden="1" customWidth="1"/>
    <col min="19" max="19" width="3.00390625" style="11" hidden="1" customWidth="1"/>
    <col min="20" max="20" width="3.875" style="11" hidden="1" customWidth="1"/>
    <col min="21" max="21" width="3.625" style="11" hidden="1" customWidth="1"/>
    <col min="22" max="22" width="3.375" style="12" hidden="1" customWidth="1"/>
    <col min="23" max="29" width="3.375" style="11" hidden="1" customWidth="1"/>
    <col min="30" max="30" width="3.625" style="11" hidden="1" customWidth="1"/>
    <col min="31" max="31" width="3.25390625" style="11" hidden="1" customWidth="1"/>
    <col min="32" max="32" width="3.25390625" style="23" hidden="1" customWidth="1"/>
    <col min="33" max="33" width="3.375" style="24" hidden="1" customWidth="1"/>
    <col min="34" max="34" width="3.375" style="14" hidden="1" customWidth="1"/>
    <col min="35" max="35" width="3.375" style="24" hidden="1" customWidth="1"/>
    <col min="36" max="36" width="3.375" style="11" hidden="1" customWidth="1"/>
    <col min="37" max="37" width="3.375" style="24" hidden="1" customWidth="1"/>
    <col min="38" max="38" width="3.375" style="11" hidden="1" customWidth="1"/>
    <col min="39" max="40" width="3.625" style="11" hidden="1" customWidth="1"/>
    <col min="41" max="42" width="3.375" style="11" hidden="1" customWidth="1"/>
    <col min="43" max="45" width="3.375" style="15" hidden="1" customWidth="1"/>
    <col min="46" max="47" width="3.375" style="11" hidden="1" customWidth="1"/>
    <col min="48" max="48" width="3.00390625" style="11" hidden="1" customWidth="1"/>
    <col min="49" max="50" width="3.375" style="11" hidden="1" customWidth="1"/>
    <col min="51" max="51" width="6.625" style="11" customWidth="1"/>
    <col min="52" max="52" width="5.625" style="22" customWidth="1"/>
    <col min="53" max="53" width="13.00390625" style="24" customWidth="1"/>
    <col min="54" max="54" width="14.75390625" style="1" customWidth="1"/>
    <col min="55" max="61" width="3.00390625" style="1" hidden="1" customWidth="1"/>
    <col min="62" max="166" width="0" style="1" hidden="1" customWidth="1"/>
    <col min="167" max="16384" width="9.125" style="1" customWidth="1"/>
  </cols>
  <sheetData>
    <row r="1" spans="1:55" ht="11.25">
      <c r="A1" s="36" t="s">
        <v>301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32"/>
    </row>
    <row r="2" spans="1:55" ht="11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32"/>
    </row>
    <row r="3" spans="1:55" ht="11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2"/>
    </row>
    <row r="4" spans="1:54" s="11" customFormat="1" ht="11.25">
      <c r="A4" s="10" t="s">
        <v>302</v>
      </c>
      <c r="B4" s="27" t="s">
        <v>303</v>
      </c>
      <c r="C4" s="27" t="s">
        <v>304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8"/>
      <c r="AG4" s="27"/>
      <c r="AH4" s="28"/>
      <c r="AI4" s="27"/>
      <c r="AJ4" s="27"/>
      <c r="AK4" s="27"/>
      <c r="AL4" s="27"/>
      <c r="AM4" s="27"/>
      <c r="AN4" s="27"/>
      <c r="AO4" s="27"/>
      <c r="AP4" s="27"/>
      <c r="AQ4" s="29"/>
      <c r="AR4" s="29"/>
      <c r="AS4" s="29"/>
      <c r="AT4" s="27"/>
      <c r="AU4" s="27"/>
      <c r="AV4" s="27"/>
      <c r="AW4" s="27"/>
      <c r="AX4" s="27"/>
      <c r="AY4" s="30" t="s">
        <v>305</v>
      </c>
      <c r="AZ4" s="38"/>
      <c r="BA4" s="10" t="s">
        <v>306</v>
      </c>
      <c r="BB4" s="10" t="s">
        <v>307</v>
      </c>
    </row>
    <row r="5" spans="1:53" s="4" customFormat="1" ht="11.25" hidden="1">
      <c r="A5" s="3" t="str">
        <f>"09962"</f>
        <v>09962</v>
      </c>
      <c r="B5" s="4" t="str">
        <f>"AJÁNDÉK TASAK"</f>
        <v>AJÁNDÉK TASAK</v>
      </c>
      <c r="D5" s="6"/>
      <c r="E5" s="5" t="s">
        <v>36</v>
      </c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"/>
      <c r="W5" s="6"/>
      <c r="X5" s="6"/>
      <c r="Y5" s="6"/>
      <c r="Z5" s="6"/>
      <c r="AA5" s="6"/>
      <c r="AB5" s="6"/>
      <c r="AC5" s="6"/>
      <c r="AD5" s="6"/>
      <c r="AE5" s="6"/>
      <c r="AF5" s="8"/>
      <c r="AG5" s="6"/>
      <c r="AH5" s="8"/>
      <c r="AI5" s="6"/>
      <c r="AJ5" s="6"/>
      <c r="AK5" s="6"/>
      <c r="AL5" s="6"/>
      <c r="AM5" s="6"/>
      <c r="AN5" s="6"/>
      <c r="AO5" s="6"/>
      <c r="AP5" s="6"/>
      <c r="AQ5" s="9"/>
      <c r="AR5" s="9"/>
      <c r="AS5" s="9"/>
      <c r="AT5" s="6"/>
      <c r="AU5" s="6"/>
      <c r="AV5" s="6"/>
      <c r="AW5" s="6"/>
      <c r="AX5" s="6"/>
      <c r="AY5" s="6"/>
      <c r="AZ5" s="41"/>
      <c r="BA5" s="6"/>
    </row>
    <row r="6" spans="1:53" s="4" customFormat="1" ht="11.25" hidden="1">
      <c r="A6" s="3" t="str">
        <f>"07442"</f>
        <v>07442</v>
      </c>
      <c r="B6" s="4" t="str">
        <f>"ALÁÍRÓKÖNYV (A4)"</f>
        <v>ALÁÍRÓKÖNYV (A4)</v>
      </c>
      <c r="C6" s="4" t="str">
        <f>"SAVARIA"</f>
        <v>SAVARIA</v>
      </c>
      <c r="D6" s="6"/>
      <c r="E6" s="5" t="s">
        <v>36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"/>
      <c r="W6" s="6"/>
      <c r="X6" s="6"/>
      <c r="Y6" s="6"/>
      <c r="Z6" s="6"/>
      <c r="AA6" s="6"/>
      <c r="AB6" s="6"/>
      <c r="AC6" s="6"/>
      <c r="AD6" s="6"/>
      <c r="AE6" s="6"/>
      <c r="AF6" s="8"/>
      <c r="AG6" s="6"/>
      <c r="AH6" s="8"/>
      <c r="AI6" s="6"/>
      <c r="AJ6" s="6"/>
      <c r="AK6" s="6"/>
      <c r="AL6" s="6"/>
      <c r="AM6" s="6"/>
      <c r="AN6" s="6"/>
      <c r="AO6" s="6"/>
      <c r="AP6" s="6"/>
      <c r="AQ6" s="9"/>
      <c r="AR6" s="9"/>
      <c r="AS6" s="9"/>
      <c r="AT6" s="6"/>
      <c r="AU6" s="6"/>
      <c r="AV6" s="6"/>
      <c r="AW6" s="6"/>
      <c r="AX6" s="6"/>
      <c r="AY6" s="6"/>
      <c r="AZ6" s="41"/>
      <c r="BA6" s="6"/>
    </row>
    <row r="7" spans="1:53" s="2" customFormat="1" ht="11.25" hidden="1">
      <c r="A7" s="3" t="str">
        <f>"09263"</f>
        <v>09263</v>
      </c>
      <c r="B7" s="4" t="str">
        <f>"ARCHIVÁLÓ KONTÉNER"</f>
        <v>ARCHIVÁLÓ KONTÉNER</v>
      </c>
      <c r="C7" s="4"/>
      <c r="D7" s="11"/>
      <c r="E7" s="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/>
      <c r="W7" s="11"/>
      <c r="X7" s="11"/>
      <c r="Y7" s="11"/>
      <c r="Z7" s="11"/>
      <c r="AA7" s="11"/>
      <c r="AB7" s="11"/>
      <c r="AC7" s="11"/>
      <c r="AD7" s="11"/>
      <c r="AE7" s="11"/>
      <c r="AF7" s="5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>
        <f aca="true" t="shared" si="0" ref="AY7:AY20">SUM(D7:AX7)</f>
        <v>0</v>
      </c>
      <c r="AZ7" s="42"/>
      <c r="BA7" s="11"/>
    </row>
    <row r="8" spans="1:53" s="2" customFormat="1" ht="11.25" hidden="1">
      <c r="A8" s="3" t="str">
        <f>"07596"</f>
        <v>07596</v>
      </c>
      <c r="B8" s="4" t="str">
        <f>"ÁTÍRÓTÖMB"</f>
        <v>ÁTÍRÓTÖMB</v>
      </c>
      <c r="C8" s="4" t="str">
        <f>"A/5 (50X3)"</f>
        <v>A/5 (50X3)</v>
      </c>
      <c r="D8" s="11"/>
      <c r="E8" s="5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/>
      <c r="W8" s="11"/>
      <c r="X8" s="11"/>
      <c r="Y8" s="11"/>
      <c r="Z8" s="11"/>
      <c r="AA8" s="11"/>
      <c r="AB8" s="11"/>
      <c r="AC8" s="11"/>
      <c r="AD8" s="11"/>
      <c r="AE8" s="11"/>
      <c r="AF8" s="5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>
        <f t="shared" si="0"/>
        <v>0</v>
      </c>
      <c r="AZ8" s="42"/>
      <c r="BA8" s="11"/>
    </row>
    <row r="9" spans="1:53" s="2" customFormat="1" ht="11.25" hidden="1">
      <c r="A9" s="3" t="str">
        <f>"11697"</f>
        <v>11697</v>
      </c>
      <c r="B9" s="4" t="str">
        <f>"ÁTÍRÓTÖMB (ÖNÁTÍRÓS)"</f>
        <v>ÁTÍRÓTÖMB (ÖNÁTÍRÓS)</v>
      </c>
      <c r="C9" s="4" t="str">
        <f>"A/4 (50X2)"</f>
        <v>A/4 (50X2)</v>
      </c>
      <c r="D9" s="11"/>
      <c r="E9" s="5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1"/>
      <c r="X9" s="11"/>
      <c r="Y9" s="11"/>
      <c r="Z9" s="11"/>
      <c r="AA9" s="11"/>
      <c r="AB9" s="11"/>
      <c r="AC9" s="11"/>
      <c r="AD9" s="11"/>
      <c r="AE9" s="11"/>
      <c r="AF9" s="5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>
        <f t="shared" si="0"/>
        <v>0</v>
      </c>
      <c r="AZ9" s="42"/>
      <c r="BA9" s="11"/>
    </row>
    <row r="10" spans="1:53" s="4" customFormat="1" ht="11.25" hidden="1">
      <c r="A10" s="3" t="str">
        <f>"08078"</f>
        <v>08078</v>
      </c>
      <c r="B10" s="4" t="str">
        <f>"BELFÖLDI KIKÜLDETÉSI RENDELVÉNY"</f>
        <v>BELFÖLDI KIKÜLDETÉSI RENDELVÉNY</v>
      </c>
      <c r="C10" s="4" t="str">
        <f>"(B.18-70/új)"</f>
        <v>(B.18-70/új)</v>
      </c>
      <c r="D10" s="6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6"/>
      <c r="X10" s="6"/>
      <c r="Y10" s="6"/>
      <c r="Z10" s="6"/>
      <c r="AA10" s="6"/>
      <c r="AB10" s="6"/>
      <c r="AC10" s="6"/>
      <c r="AD10" s="6"/>
      <c r="AE10" s="6"/>
      <c r="AF10" s="5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11">
        <f t="shared" si="0"/>
        <v>0</v>
      </c>
      <c r="AZ10" s="42"/>
      <c r="BA10" s="6"/>
    </row>
    <row r="11" spans="1:53" s="4" customFormat="1" ht="11.25" hidden="1">
      <c r="A11" s="3" t="str">
        <f>"13629"</f>
        <v>13629</v>
      </c>
      <c r="B11" s="4" t="str">
        <f>"BÉLYEGZŐ"</f>
        <v>BÉLYEGZŐ</v>
      </c>
      <c r="C11" s="4" t="str">
        <f>"COLOP 20"</f>
        <v>COLOP 20</v>
      </c>
      <c r="D11" s="6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7"/>
      <c r="W11" s="6"/>
      <c r="X11" s="6"/>
      <c r="Y11" s="6"/>
      <c r="Z11" s="6"/>
      <c r="AA11" s="6"/>
      <c r="AB11" s="6"/>
      <c r="AC11" s="6"/>
      <c r="AD11" s="6"/>
      <c r="AE11" s="6"/>
      <c r="AF11" s="5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11">
        <f t="shared" si="0"/>
        <v>0</v>
      </c>
      <c r="AZ11" s="42"/>
      <c r="BA11" s="6"/>
    </row>
    <row r="12" spans="1:53" s="4" customFormat="1" ht="11.25" hidden="1">
      <c r="A12" s="3" t="str">
        <f>"09947"</f>
        <v>09947</v>
      </c>
      <c r="B12" s="4" t="str">
        <f>"BÉLYEGZŐ (DÁTUM)"</f>
        <v>BÉLYEGZŐ (DÁTUM)</v>
      </c>
      <c r="C12" s="4" t="str">
        <f>"COLOP S120"</f>
        <v>COLOP S120</v>
      </c>
      <c r="D12" s="6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7"/>
      <c r="W12" s="6"/>
      <c r="X12" s="6"/>
      <c r="Y12" s="6"/>
      <c r="Z12" s="6"/>
      <c r="AA12" s="6"/>
      <c r="AB12" s="6"/>
      <c r="AC12" s="6"/>
      <c r="AD12" s="6"/>
      <c r="AE12" s="6"/>
      <c r="AF12" s="5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11">
        <f t="shared" si="0"/>
        <v>0</v>
      </c>
      <c r="AZ12" s="42"/>
      <c r="BA12" s="6"/>
    </row>
    <row r="13" spans="1:53" s="4" customFormat="1" ht="11.25" hidden="1">
      <c r="A13" s="3" t="str">
        <f>"08618"</f>
        <v>08618</v>
      </c>
      <c r="B13" s="4" t="str">
        <f aca="true" t="shared" si="1" ref="B13:B20">"BÉLYEGZŐPÁRNA"</f>
        <v>BÉLYEGZŐPÁRNA</v>
      </c>
      <c r="C13" s="4" t="str">
        <f>"COLOP BP. 4912"</f>
        <v>COLOP BP. 4912</v>
      </c>
      <c r="D13" s="6"/>
      <c r="E13" s="5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7"/>
      <c r="W13" s="6"/>
      <c r="X13" s="6"/>
      <c r="Y13" s="6"/>
      <c r="Z13" s="6"/>
      <c r="AA13" s="6"/>
      <c r="AB13" s="6"/>
      <c r="AC13" s="6"/>
      <c r="AD13" s="6"/>
      <c r="AE13" s="6"/>
      <c r="AF13" s="5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11">
        <f t="shared" si="0"/>
        <v>0</v>
      </c>
      <c r="AZ13" s="42"/>
      <c r="BA13" s="6"/>
    </row>
    <row r="14" spans="1:53" s="4" customFormat="1" ht="11.25" hidden="1">
      <c r="A14" s="3" t="str">
        <f>"08617"</f>
        <v>08617</v>
      </c>
      <c r="B14" s="4" t="str">
        <f t="shared" si="1"/>
        <v>BÉLYEGZŐPÁRNA</v>
      </c>
      <c r="C14" s="4" t="str">
        <f>"COLOP BP. 4913"</f>
        <v>COLOP BP. 4913</v>
      </c>
      <c r="D14" s="6"/>
      <c r="E14" s="5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7"/>
      <c r="W14" s="6"/>
      <c r="X14" s="6"/>
      <c r="Y14" s="6"/>
      <c r="Z14" s="6"/>
      <c r="AA14" s="6"/>
      <c r="AB14" s="6"/>
      <c r="AC14" s="6"/>
      <c r="AD14" s="6"/>
      <c r="AE14" s="6"/>
      <c r="AF14" s="5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11">
        <f t="shared" si="0"/>
        <v>0</v>
      </c>
      <c r="AZ14" s="42"/>
      <c r="BA14" s="6"/>
    </row>
    <row r="15" spans="1:53" s="4" customFormat="1" ht="11.25" hidden="1">
      <c r="A15" s="3" t="str">
        <f>"10905"</f>
        <v>10905</v>
      </c>
      <c r="B15" s="4" t="str">
        <f t="shared" si="1"/>
        <v>BÉLYEGZŐPÁRNA</v>
      </c>
      <c r="C15" s="4" t="str">
        <f>"COLOP E 10"</f>
        <v>COLOP E 10</v>
      </c>
      <c r="D15" s="6"/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7"/>
      <c r="W15" s="6"/>
      <c r="X15" s="6"/>
      <c r="Y15" s="6"/>
      <c r="Z15" s="6"/>
      <c r="AA15" s="6"/>
      <c r="AB15" s="6"/>
      <c r="AC15" s="6"/>
      <c r="AD15" s="6"/>
      <c r="AE15" s="6"/>
      <c r="AF15" s="5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11">
        <f t="shared" si="0"/>
        <v>0</v>
      </c>
      <c r="AZ15" s="42"/>
      <c r="BA15" s="6"/>
    </row>
    <row r="16" spans="1:53" s="4" customFormat="1" ht="11.25" hidden="1">
      <c r="A16" s="3" t="str">
        <f>"10906"</f>
        <v>10906</v>
      </c>
      <c r="B16" s="4" t="str">
        <f t="shared" si="1"/>
        <v>BÉLYEGZŐPÁRNA</v>
      </c>
      <c r="C16" s="4" t="str">
        <f>"COLOP E 30"</f>
        <v>COLOP E 30</v>
      </c>
      <c r="D16" s="6"/>
      <c r="E16" s="5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7"/>
      <c r="W16" s="6"/>
      <c r="X16" s="6"/>
      <c r="Y16" s="6"/>
      <c r="Z16" s="6"/>
      <c r="AA16" s="6"/>
      <c r="AB16" s="6"/>
      <c r="AC16" s="6"/>
      <c r="AD16" s="6"/>
      <c r="AE16" s="6"/>
      <c r="AF16" s="5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11">
        <f t="shared" si="0"/>
        <v>0</v>
      </c>
      <c r="AZ16" s="42"/>
      <c r="BA16" s="6"/>
    </row>
    <row r="17" spans="1:53" s="4" customFormat="1" ht="11.25" hidden="1">
      <c r="A17" s="3" t="str">
        <f>"08573"</f>
        <v>08573</v>
      </c>
      <c r="B17" s="4" t="str">
        <f t="shared" si="1"/>
        <v>BÉLYEGZŐPÁRNA</v>
      </c>
      <c r="C17" s="4" t="str">
        <f>"COLOP E 40"</f>
        <v>COLOP E 40</v>
      </c>
      <c r="D17" s="6"/>
      <c r="E17" s="5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7"/>
      <c r="W17" s="6"/>
      <c r="X17" s="6"/>
      <c r="Y17" s="6"/>
      <c r="Z17" s="6"/>
      <c r="AA17" s="6"/>
      <c r="AB17" s="6"/>
      <c r="AC17" s="6"/>
      <c r="AD17" s="6"/>
      <c r="AE17" s="6"/>
      <c r="AF17" s="5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11">
        <f t="shared" si="0"/>
        <v>0</v>
      </c>
      <c r="AZ17" s="42"/>
      <c r="BA17" s="6"/>
    </row>
    <row r="18" spans="1:53" s="4" customFormat="1" ht="11.25" hidden="1">
      <c r="A18" s="3" t="str">
        <f>"12655"</f>
        <v>12655</v>
      </c>
      <c r="B18" s="4" t="str">
        <f t="shared" si="1"/>
        <v>BÉLYEGZŐPÁRNA</v>
      </c>
      <c r="C18" s="4" t="str">
        <f>"KORES"</f>
        <v>KORES</v>
      </c>
      <c r="D18" s="6"/>
      <c r="E18" s="5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7"/>
      <c r="W18" s="6"/>
      <c r="X18" s="6"/>
      <c r="Y18" s="6"/>
      <c r="Z18" s="6"/>
      <c r="AA18" s="6"/>
      <c r="AB18" s="6"/>
      <c r="AC18" s="6"/>
      <c r="AD18" s="6"/>
      <c r="AE18" s="6"/>
      <c r="AF18" s="5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11">
        <f t="shared" si="0"/>
        <v>0</v>
      </c>
      <c r="AZ18" s="42"/>
      <c r="BA18" s="6"/>
    </row>
    <row r="19" spans="1:53" s="4" customFormat="1" ht="11.25" hidden="1">
      <c r="A19" s="3" t="str">
        <f>"13304"</f>
        <v>13304</v>
      </c>
      <c r="B19" s="4" t="str">
        <f t="shared" si="1"/>
        <v>BÉLYEGZŐPÁRNA</v>
      </c>
      <c r="C19" s="4" t="str">
        <f>"LACO"</f>
        <v>LACO</v>
      </c>
      <c r="D19" s="6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6"/>
      <c r="X19" s="6"/>
      <c r="Y19" s="6"/>
      <c r="Z19" s="6"/>
      <c r="AA19" s="6"/>
      <c r="AB19" s="6"/>
      <c r="AC19" s="6"/>
      <c r="AD19" s="6"/>
      <c r="AE19" s="6"/>
      <c r="AF19" s="5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11">
        <f t="shared" si="0"/>
        <v>0</v>
      </c>
      <c r="AZ19" s="42"/>
      <c r="BA19" s="6"/>
    </row>
    <row r="20" spans="1:53" s="4" customFormat="1" ht="11.25" hidden="1">
      <c r="A20" s="3" t="str">
        <f>"12490"</f>
        <v>12490</v>
      </c>
      <c r="B20" s="4" t="str">
        <f t="shared" si="1"/>
        <v>BÉLYEGZŐPÁRNA</v>
      </c>
      <c r="C20" s="4" t="str">
        <f>"TRODAT 4912"</f>
        <v>TRODAT 4912</v>
      </c>
      <c r="D20" s="6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7"/>
      <c r="W20" s="6"/>
      <c r="X20" s="6"/>
      <c r="Y20" s="6"/>
      <c r="Z20" s="6"/>
      <c r="AA20" s="6"/>
      <c r="AB20" s="6"/>
      <c r="AC20" s="6"/>
      <c r="AD20" s="6"/>
      <c r="AE20" s="6"/>
      <c r="AF20" s="5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11">
        <f t="shared" si="0"/>
        <v>0</v>
      </c>
      <c r="AZ20" s="42"/>
      <c r="BA20" s="6"/>
    </row>
    <row r="21" spans="1:55" s="4" customFormat="1" ht="11.25">
      <c r="A21" s="3" t="s">
        <v>144</v>
      </c>
      <c r="B21" s="4" t="str">
        <f>"ÁRAZÓSZALAG"</f>
        <v>ÁRAZÓSZALAG</v>
      </c>
      <c r="C21" s="4" t="s">
        <v>137</v>
      </c>
      <c r="D21" s="6">
        <v>5</v>
      </c>
      <c r="E21" s="5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6"/>
      <c r="X21" s="6"/>
      <c r="Y21" s="6"/>
      <c r="Z21" s="6"/>
      <c r="AA21" s="6"/>
      <c r="AB21" s="6"/>
      <c r="AC21" s="6"/>
      <c r="AD21" s="6"/>
      <c r="AE21" s="6"/>
      <c r="AF21" s="5"/>
      <c r="AG21" s="6"/>
      <c r="AH21" s="6"/>
      <c r="AI21" s="6"/>
      <c r="AJ21" s="6"/>
      <c r="AK21" s="6"/>
      <c r="AL21" s="6">
        <v>2</v>
      </c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11">
        <f>SUM(D21:AX21)</f>
        <v>7</v>
      </c>
      <c r="AZ21" s="41" t="s">
        <v>24</v>
      </c>
      <c r="BA21" s="6"/>
      <c r="BC21" s="2"/>
    </row>
    <row r="22" spans="1:53" s="2" customFormat="1" ht="11.25">
      <c r="A22" s="3" t="s">
        <v>145</v>
      </c>
      <c r="B22" s="4" t="s">
        <v>71</v>
      </c>
      <c r="C22" s="4" t="s">
        <v>287</v>
      </c>
      <c r="D22" s="6"/>
      <c r="E22" s="5"/>
      <c r="F22" s="6"/>
      <c r="G22" s="6"/>
      <c r="H22" s="6"/>
      <c r="I22" s="6"/>
      <c r="J22" s="6"/>
      <c r="K22" s="6"/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7"/>
      <c r="W22" s="6"/>
      <c r="X22" s="6"/>
      <c r="Y22" s="6"/>
      <c r="Z22" s="6"/>
      <c r="AA22" s="6"/>
      <c r="AB22" s="6"/>
      <c r="AC22" s="6"/>
      <c r="AD22" s="6"/>
      <c r="AE22" s="6"/>
      <c r="AF22" s="5"/>
      <c r="AG22" s="6"/>
      <c r="AH22" s="6"/>
      <c r="AI22" s="6"/>
      <c r="AJ22" s="6">
        <v>2</v>
      </c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11">
        <f aca="true" t="shared" si="2" ref="AY22:AY80">SUM(D22:AX22)</f>
        <v>3</v>
      </c>
      <c r="AZ22" s="42" t="s">
        <v>18</v>
      </c>
      <c r="BA22" s="11"/>
    </row>
    <row r="23" spans="1:53" s="2" customFormat="1" ht="11.25">
      <c r="A23" s="3" t="s">
        <v>146</v>
      </c>
      <c r="B23" s="4" t="s">
        <v>288</v>
      </c>
      <c r="C23" s="4" t="s">
        <v>134</v>
      </c>
      <c r="D23" s="6">
        <v>6</v>
      </c>
      <c r="E23" s="5"/>
      <c r="F23" s="6"/>
      <c r="G23" s="6">
        <v>12</v>
      </c>
      <c r="H23" s="6"/>
      <c r="I23" s="6"/>
      <c r="J23" s="6"/>
      <c r="K23" s="6"/>
      <c r="L23" s="6"/>
      <c r="M23" s="6"/>
      <c r="N23" s="6">
        <v>1</v>
      </c>
      <c r="O23" s="6"/>
      <c r="P23" s="6"/>
      <c r="Q23" s="6">
        <v>1</v>
      </c>
      <c r="R23" s="6"/>
      <c r="S23" s="6"/>
      <c r="T23" s="6"/>
      <c r="U23" s="6">
        <v>1</v>
      </c>
      <c r="V23" s="7"/>
      <c r="W23" s="6"/>
      <c r="X23" s="6"/>
      <c r="Y23" s="6"/>
      <c r="Z23" s="6"/>
      <c r="AA23" s="6"/>
      <c r="AB23" s="6"/>
      <c r="AC23" s="6"/>
      <c r="AD23" s="6"/>
      <c r="AE23" s="6"/>
      <c r="AF23" s="5"/>
      <c r="AG23" s="6"/>
      <c r="AH23" s="6"/>
      <c r="AI23" s="6"/>
      <c r="AJ23" s="6">
        <v>6</v>
      </c>
      <c r="AK23" s="6"/>
      <c r="AL23" s="6"/>
      <c r="AM23" s="6"/>
      <c r="AN23" s="6"/>
      <c r="AO23" s="6"/>
      <c r="AP23" s="6"/>
      <c r="AQ23" s="6"/>
      <c r="AR23" s="6"/>
      <c r="AS23" s="6"/>
      <c r="AT23" s="6">
        <v>1</v>
      </c>
      <c r="AU23" s="6">
        <v>1</v>
      </c>
      <c r="AV23" s="6">
        <v>1</v>
      </c>
      <c r="AW23" s="6">
        <v>2</v>
      </c>
      <c r="AX23" s="6"/>
      <c r="AY23" s="11">
        <f t="shared" si="2"/>
        <v>32</v>
      </c>
      <c r="AZ23" s="42" t="s">
        <v>18</v>
      </c>
      <c r="BA23" s="11"/>
    </row>
    <row r="24" spans="1:53" s="2" customFormat="1" ht="11.25">
      <c r="A24" s="3" t="s">
        <v>147</v>
      </c>
      <c r="B24" s="4" t="s">
        <v>135</v>
      </c>
      <c r="C24" s="4" t="s">
        <v>136</v>
      </c>
      <c r="D24" s="6">
        <v>6</v>
      </c>
      <c r="E24" s="5"/>
      <c r="F24" s="6"/>
      <c r="G24" s="6">
        <v>5</v>
      </c>
      <c r="H24" s="6"/>
      <c r="I24" s="6"/>
      <c r="J24" s="6"/>
      <c r="K24" s="6"/>
      <c r="L24" s="6"/>
      <c r="M24" s="6"/>
      <c r="N24" s="6">
        <v>1</v>
      </c>
      <c r="O24" s="6"/>
      <c r="P24" s="6"/>
      <c r="Q24" s="6">
        <v>1</v>
      </c>
      <c r="R24" s="6"/>
      <c r="S24" s="6"/>
      <c r="T24" s="6"/>
      <c r="U24" s="6"/>
      <c r="V24" s="7"/>
      <c r="W24" s="6"/>
      <c r="X24" s="6"/>
      <c r="Y24" s="6"/>
      <c r="Z24" s="6"/>
      <c r="AA24" s="6"/>
      <c r="AB24" s="6"/>
      <c r="AC24" s="6"/>
      <c r="AD24" s="6"/>
      <c r="AE24" s="6"/>
      <c r="AF24" s="5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11">
        <f t="shared" si="2"/>
        <v>13</v>
      </c>
      <c r="AZ24" s="42" t="s">
        <v>18</v>
      </c>
      <c r="BA24" s="11"/>
    </row>
    <row r="25" spans="1:53" s="2" customFormat="1" ht="11.25">
      <c r="A25" s="3" t="s">
        <v>148</v>
      </c>
      <c r="B25" s="4" t="str">
        <f>"BINDER CSIPESZ (CLIPS)"</f>
        <v>BINDER CSIPESZ (CLIPS)</v>
      </c>
      <c r="C25" s="4" t="s">
        <v>52</v>
      </c>
      <c r="D25" s="6"/>
      <c r="E25" s="5"/>
      <c r="F25" s="6"/>
      <c r="G25" s="6">
        <v>3</v>
      </c>
      <c r="H25" s="6"/>
      <c r="I25" s="6"/>
      <c r="J25" s="6"/>
      <c r="K25" s="6"/>
      <c r="L25" s="6"/>
      <c r="M25" s="6"/>
      <c r="N25" s="6">
        <v>1</v>
      </c>
      <c r="O25" s="6"/>
      <c r="P25" s="6"/>
      <c r="Q25" s="6"/>
      <c r="R25" s="6"/>
      <c r="S25" s="6"/>
      <c r="T25" s="6">
        <v>2</v>
      </c>
      <c r="U25" s="6"/>
      <c r="V25" s="7"/>
      <c r="W25" s="6"/>
      <c r="X25" s="6"/>
      <c r="Y25" s="6"/>
      <c r="Z25" s="6"/>
      <c r="AA25" s="6"/>
      <c r="AB25" s="6"/>
      <c r="AC25" s="6"/>
      <c r="AD25" s="6"/>
      <c r="AE25" s="6"/>
      <c r="AF25" s="5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11">
        <f t="shared" si="2"/>
        <v>6</v>
      </c>
      <c r="AZ25" s="42" t="s">
        <v>23</v>
      </c>
      <c r="BA25" s="11"/>
    </row>
    <row r="26" spans="1:53" s="2" customFormat="1" ht="11.25">
      <c r="A26" s="3" t="s">
        <v>149</v>
      </c>
      <c r="B26" s="4" t="str">
        <f>"BINDER CSIPESZ (CLIPS)"</f>
        <v>BINDER CSIPESZ (CLIPS)</v>
      </c>
      <c r="C26" s="4" t="s">
        <v>51</v>
      </c>
      <c r="D26" s="6"/>
      <c r="E26" s="5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2</v>
      </c>
      <c r="U26" s="6"/>
      <c r="V26" s="7"/>
      <c r="W26" s="6"/>
      <c r="X26" s="6"/>
      <c r="Y26" s="6"/>
      <c r="Z26" s="6"/>
      <c r="AA26" s="6"/>
      <c r="AB26" s="6"/>
      <c r="AC26" s="6"/>
      <c r="AD26" s="6"/>
      <c r="AE26" s="6"/>
      <c r="AF26" s="5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11">
        <f t="shared" si="2"/>
        <v>2</v>
      </c>
      <c r="AZ26" s="42" t="s">
        <v>23</v>
      </c>
      <c r="BA26" s="11"/>
    </row>
    <row r="27" spans="1:53" s="2" customFormat="1" ht="11.25">
      <c r="A27" s="3" t="s">
        <v>150</v>
      </c>
      <c r="B27" s="4" t="str">
        <f>"BINDER CSIPESZ (CLIPS)"</f>
        <v>BINDER CSIPESZ (CLIPS)</v>
      </c>
      <c r="C27" s="4" t="s">
        <v>50</v>
      </c>
      <c r="D27" s="6"/>
      <c r="E27" s="5">
        <v>1</v>
      </c>
      <c r="F27" s="6"/>
      <c r="G27" s="6">
        <v>3</v>
      </c>
      <c r="H27" s="6"/>
      <c r="I27" s="6"/>
      <c r="J27" s="6"/>
      <c r="K27" s="6"/>
      <c r="L27" s="6">
        <v>3</v>
      </c>
      <c r="M27" s="6"/>
      <c r="N27" s="6"/>
      <c r="O27" s="6"/>
      <c r="P27" s="6"/>
      <c r="Q27" s="6"/>
      <c r="R27" s="6"/>
      <c r="S27" s="6"/>
      <c r="T27" s="6"/>
      <c r="U27" s="6"/>
      <c r="V27" s="7"/>
      <c r="W27" s="6"/>
      <c r="X27" s="6"/>
      <c r="Y27" s="6"/>
      <c r="Z27" s="6"/>
      <c r="AA27" s="6"/>
      <c r="AB27" s="6"/>
      <c r="AC27" s="6"/>
      <c r="AD27" s="6"/>
      <c r="AE27" s="6"/>
      <c r="AF27" s="5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11">
        <f t="shared" si="2"/>
        <v>7</v>
      </c>
      <c r="AZ27" s="42" t="s">
        <v>23</v>
      </c>
      <c r="BA27" s="11"/>
    </row>
    <row r="28" spans="1:53" s="2" customFormat="1" ht="11.25">
      <c r="A28" s="3" t="s">
        <v>151</v>
      </c>
      <c r="B28" s="4" t="str">
        <f>"BINDER CSIPESZ (CLIPS)"</f>
        <v>BINDER CSIPESZ (CLIPS)</v>
      </c>
      <c r="C28" s="4" t="s">
        <v>53</v>
      </c>
      <c r="D28" s="6"/>
      <c r="E28" s="5"/>
      <c r="F28" s="6"/>
      <c r="G28" s="6"/>
      <c r="H28" s="6"/>
      <c r="I28" s="6"/>
      <c r="J28" s="6"/>
      <c r="K28" s="6"/>
      <c r="L28" s="6">
        <v>2</v>
      </c>
      <c r="M28" s="6"/>
      <c r="N28" s="6"/>
      <c r="O28" s="6"/>
      <c r="P28" s="6"/>
      <c r="Q28" s="6"/>
      <c r="R28" s="6"/>
      <c r="S28" s="6"/>
      <c r="T28" s="6"/>
      <c r="U28" s="6"/>
      <c r="V28" s="7"/>
      <c r="W28" s="6"/>
      <c r="X28" s="6"/>
      <c r="Y28" s="6"/>
      <c r="Z28" s="6"/>
      <c r="AA28" s="6"/>
      <c r="AB28" s="6"/>
      <c r="AC28" s="6"/>
      <c r="AD28" s="6"/>
      <c r="AE28" s="6"/>
      <c r="AF28" s="5"/>
      <c r="AG28" s="6"/>
      <c r="AH28" s="6"/>
      <c r="AI28" s="6"/>
      <c r="AJ28" s="6"/>
      <c r="AK28" s="6"/>
      <c r="AL28" s="6"/>
      <c r="AM28" s="6"/>
      <c r="AN28" s="6"/>
      <c r="AO28" s="6">
        <v>5</v>
      </c>
      <c r="AP28" s="6">
        <v>5</v>
      </c>
      <c r="AQ28" s="6"/>
      <c r="AR28" s="6"/>
      <c r="AS28" s="6"/>
      <c r="AT28" s="6"/>
      <c r="AU28" s="6"/>
      <c r="AV28" s="6"/>
      <c r="AW28" s="6">
        <v>2</v>
      </c>
      <c r="AX28" s="6"/>
      <c r="AY28" s="11">
        <f t="shared" si="2"/>
        <v>14</v>
      </c>
      <c r="AZ28" s="42" t="s">
        <v>23</v>
      </c>
      <c r="BA28" s="11"/>
    </row>
    <row r="29" spans="1:53" s="4" customFormat="1" ht="11.25" hidden="1">
      <c r="A29" s="3" t="s">
        <v>154</v>
      </c>
      <c r="B29" s="4" t="s">
        <v>37</v>
      </c>
      <c r="D29" s="6"/>
      <c r="E29" s="5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7"/>
      <c r="W29" s="6"/>
      <c r="X29" s="6"/>
      <c r="Y29" s="6"/>
      <c r="Z29" s="6"/>
      <c r="AA29" s="6"/>
      <c r="AB29" s="6"/>
      <c r="AC29" s="6"/>
      <c r="AD29" s="6"/>
      <c r="AE29" s="6"/>
      <c r="AF29" s="5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11">
        <f t="shared" si="2"/>
        <v>0</v>
      </c>
      <c r="AZ29" s="42" t="s">
        <v>23</v>
      </c>
      <c r="BA29" s="6"/>
    </row>
    <row r="30" spans="1:53" s="4" customFormat="1" ht="11.25" hidden="1">
      <c r="A30" s="3" t="s">
        <v>155</v>
      </c>
      <c r="B30" s="4" t="s">
        <v>37</v>
      </c>
      <c r="C30" s="4" t="str">
        <f>"DELI 0620"</f>
        <v>DELI 0620</v>
      </c>
      <c r="D30" s="6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7"/>
      <c r="W30" s="6"/>
      <c r="X30" s="6"/>
      <c r="Y30" s="6"/>
      <c r="Z30" s="6"/>
      <c r="AA30" s="6"/>
      <c r="AB30" s="6"/>
      <c r="AC30" s="6"/>
      <c r="AD30" s="6"/>
      <c r="AE30" s="6"/>
      <c r="AF30" s="5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11">
        <f t="shared" si="2"/>
        <v>0</v>
      </c>
      <c r="AZ30" s="42" t="s">
        <v>23</v>
      </c>
      <c r="BA30" s="6"/>
    </row>
    <row r="31" spans="1:55" s="4" customFormat="1" ht="11.25" hidden="1">
      <c r="A31" s="3" t="s">
        <v>156</v>
      </c>
      <c r="B31" s="4" t="s">
        <v>37</v>
      </c>
      <c r="D31" s="6"/>
      <c r="E31" s="5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7"/>
      <c r="W31" s="6"/>
      <c r="X31" s="6"/>
      <c r="Y31" s="6"/>
      <c r="Z31" s="6"/>
      <c r="AA31" s="6"/>
      <c r="AB31" s="6"/>
      <c r="AC31" s="6"/>
      <c r="AD31" s="6"/>
      <c r="AE31" s="6"/>
      <c r="AF31" s="5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11">
        <f t="shared" si="2"/>
        <v>0</v>
      </c>
      <c r="AZ31" s="42" t="s">
        <v>23</v>
      </c>
      <c r="BA31" s="6"/>
      <c r="BC31" s="2"/>
    </row>
    <row r="32" spans="1:53" s="2" customFormat="1" ht="11.25" hidden="1">
      <c r="A32" s="3" t="s">
        <v>157</v>
      </c>
      <c r="B32" s="4" t="s">
        <v>37</v>
      </c>
      <c r="C32" s="4" t="str">
        <f>"080X120 CM"</f>
        <v>080X120 CM</v>
      </c>
      <c r="D32" s="6"/>
      <c r="E32" s="5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7"/>
      <c r="W32" s="6"/>
      <c r="X32" s="6"/>
      <c r="Y32" s="6"/>
      <c r="Z32" s="6"/>
      <c r="AA32" s="6"/>
      <c r="AB32" s="6"/>
      <c r="AC32" s="6"/>
      <c r="AD32" s="6"/>
      <c r="AE32" s="6"/>
      <c r="AF32" s="5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11">
        <f t="shared" si="2"/>
        <v>0</v>
      </c>
      <c r="AZ32" s="42" t="s">
        <v>23</v>
      </c>
      <c r="BA32" s="11"/>
    </row>
    <row r="33" spans="1:55" s="2" customFormat="1" ht="11.25" hidden="1">
      <c r="A33" s="3" t="s">
        <v>158</v>
      </c>
      <c r="B33" s="4" t="s">
        <v>37</v>
      </c>
      <c r="C33" s="4" t="str">
        <f>"5KG-OS"</f>
        <v>5KG-OS</v>
      </c>
      <c r="D33" s="6"/>
      <c r="E33" s="5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7"/>
      <c r="W33" s="6"/>
      <c r="X33" s="6"/>
      <c r="Y33" s="6"/>
      <c r="Z33" s="6"/>
      <c r="AA33" s="6"/>
      <c r="AB33" s="6"/>
      <c r="AC33" s="6"/>
      <c r="AD33" s="6"/>
      <c r="AE33" s="6"/>
      <c r="AF33" s="5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11">
        <f t="shared" si="2"/>
        <v>0</v>
      </c>
      <c r="AZ33" s="42" t="s">
        <v>23</v>
      </c>
      <c r="BA33" s="11"/>
      <c r="BC33" s="4"/>
    </row>
    <row r="34" spans="1:53" s="4" customFormat="1" ht="11.25" hidden="1">
      <c r="A34" s="3" t="s">
        <v>159</v>
      </c>
      <c r="B34" s="4" t="s">
        <v>37</v>
      </c>
      <c r="C34" s="4" t="str">
        <f>"A/1"</f>
        <v>A/1</v>
      </c>
      <c r="D34" s="6"/>
      <c r="E34" s="5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7"/>
      <c r="W34" s="6"/>
      <c r="X34" s="6"/>
      <c r="Y34" s="6"/>
      <c r="Z34" s="6"/>
      <c r="AA34" s="6"/>
      <c r="AB34" s="6"/>
      <c r="AC34" s="6"/>
      <c r="AD34" s="6"/>
      <c r="AE34" s="6"/>
      <c r="AF34" s="5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11">
        <f t="shared" si="2"/>
        <v>0</v>
      </c>
      <c r="AZ34" s="42" t="s">
        <v>23</v>
      </c>
      <c r="BA34" s="6"/>
    </row>
    <row r="35" spans="1:55" s="4" customFormat="1" ht="11.25" hidden="1">
      <c r="A35" s="3" t="s">
        <v>160</v>
      </c>
      <c r="B35" s="4" t="s">
        <v>37</v>
      </c>
      <c r="D35" s="6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7"/>
      <c r="W35" s="6"/>
      <c r="X35" s="6"/>
      <c r="Y35" s="6"/>
      <c r="Z35" s="6"/>
      <c r="AA35" s="6"/>
      <c r="AB35" s="6"/>
      <c r="AC35" s="6"/>
      <c r="AD35" s="6"/>
      <c r="AE35" s="6"/>
      <c r="AF35" s="5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11">
        <f t="shared" si="2"/>
        <v>0</v>
      </c>
      <c r="AZ35" s="42" t="s">
        <v>23</v>
      </c>
      <c r="BA35" s="6"/>
      <c r="BC35" s="2"/>
    </row>
    <row r="36" spans="1:53" s="2" customFormat="1" ht="11.25" hidden="1">
      <c r="A36" s="3" t="s">
        <v>161</v>
      </c>
      <c r="B36" s="4" t="s">
        <v>37</v>
      </c>
      <c r="C36" s="4"/>
      <c r="D36" s="6"/>
      <c r="E36" s="5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7"/>
      <c r="W36" s="6"/>
      <c r="X36" s="6"/>
      <c r="Y36" s="6"/>
      <c r="Z36" s="6"/>
      <c r="AA36" s="6"/>
      <c r="AB36" s="6"/>
      <c r="AC36" s="6"/>
      <c r="AD36" s="6"/>
      <c r="AE36" s="6"/>
      <c r="AF36" s="5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11">
        <f t="shared" si="2"/>
        <v>0</v>
      </c>
      <c r="AZ36" s="42" t="s">
        <v>23</v>
      </c>
      <c r="BA36" s="11"/>
    </row>
    <row r="37" spans="1:53" s="2" customFormat="1" ht="11.25" hidden="1">
      <c r="A37" s="3" t="s">
        <v>162</v>
      </c>
      <c r="B37" s="4" t="s">
        <v>37</v>
      </c>
      <c r="C37" s="4" t="str">
        <f>"A/4 (20/40-ES)"</f>
        <v>A/4 (20/40-ES)</v>
      </c>
      <c r="D37" s="6"/>
      <c r="E37" s="5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7"/>
      <c r="W37" s="6"/>
      <c r="X37" s="6"/>
      <c r="Y37" s="6"/>
      <c r="Z37" s="6"/>
      <c r="AA37" s="6"/>
      <c r="AB37" s="6"/>
      <c r="AC37" s="6"/>
      <c r="AD37" s="6"/>
      <c r="AE37" s="6"/>
      <c r="AF37" s="5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11">
        <f t="shared" si="2"/>
        <v>0</v>
      </c>
      <c r="AZ37" s="42" t="s">
        <v>23</v>
      </c>
      <c r="BA37" s="11"/>
    </row>
    <row r="38" spans="1:53" s="2" customFormat="1" ht="11.25" hidden="1">
      <c r="A38" s="3" t="s">
        <v>163</v>
      </c>
      <c r="B38" s="4" t="s">
        <v>37</v>
      </c>
      <c r="C38" s="4" t="str">
        <f>"A/4 (40/80-AS)"</f>
        <v>A/4 (40/80-AS)</v>
      </c>
      <c r="D38" s="6"/>
      <c r="E38" s="5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7"/>
      <c r="W38" s="6"/>
      <c r="X38" s="6"/>
      <c r="Y38" s="6"/>
      <c r="Z38" s="6"/>
      <c r="AA38" s="6"/>
      <c r="AB38" s="6"/>
      <c r="AC38" s="6"/>
      <c r="AD38" s="6"/>
      <c r="AE38" s="6"/>
      <c r="AF38" s="5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11">
        <f t="shared" si="2"/>
        <v>0</v>
      </c>
      <c r="AZ38" s="42" t="s">
        <v>23</v>
      </c>
      <c r="BA38" s="11"/>
    </row>
    <row r="39" spans="1:53" s="2" customFormat="1" ht="11.25">
      <c r="A39" s="3" t="s">
        <v>152</v>
      </c>
      <c r="B39" s="4" t="str">
        <f aca="true" t="shared" si="3" ref="B39:B49">"BORÍTÉK (ÖNTAPADÓS) SZILIKONOS"</f>
        <v>BORÍTÉK (ÖNTAPADÓS) SZILIKONOS</v>
      </c>
      <c r="C39" s="4" t="s">
        <v>99</v>
      </c>
      <c r="D39" s="6"/>
      <c r="E39" s="5"/>
      <c r="F39" s="6"/>
      <c r="G39" s="6"/>
      <c r="H39" s="6"/>
      <c r="I39" s="6"/>
      <c r="J39" s="6">
        <v>200</v>
      </c>
      <c r="K39" s="6"/>
      <c r="L39" s="6"/>
      <c r="M39" s="6"/>
      <c r="N39" s="6"/>
      <c r="O39" s="6"/>
      <c r="P39" s="6"/>
      <c r="Q39" s="6">
        <v>10</v>
      </c>
      <c r="R39" s="6"/>
      <c r="S39" s="6"/>
      <c r="T39" s="6"/>
      <c r="U39" s="6"/>
      <c r="V39" s="7"/>
      <c r="W39" s="6"/>
      <c r="X39" s="6"/>
      <c r="Y39" s="6"/>
      <c r="Z39" s="6"/>
      <c r="AA39" s="6"/>
      <c r="AB39" s="6"/>
      <c r="AC39" s="6"/>
      <c r="AD39" s="6"/>
      <c r="AE39" s="6"/>
      <c r="AF39" s="5"/>
      <c r="AG39" s="6"/>
      <c r="AH39" s="6"/>
      <c r="AI39" s="6"/>
      <c r="AJ39" s="6"/>
      <c r="AK39" s="6"/>
      <c r="AL39" s="6"/>
      <c r="AM39" s="6"/>
      <c r="AN39" s="6"/>
      <c r="AO39" s="6">
        <v>10</v>
      </c>
      <c r="AP39" s="6">
        <v>10</v>
      </c>
      <c r="AQ39" s="6"/>
      <c r="AR39" s="6"/>
      <c r="AS39" s="6"/>
      <c r="AT39" s="6"/>
      <c r="AU39" s="6"/>
      <c r="AV39" s="6"/>
      <c r="AW39" s="6"/>
      <c r="AX39" s="6"/>
      <c r="AY39" s="11">
        <f t="shared" si="2"/>
        <v>230</v>
      </c>
      <c r="AZ39" s="42" t="s">
        <v>18</v>
      </c>
      <c r="BA39" s="11"/>
    </row>
    <row r="40" spans="1:53" s="2" customFormat="1" ht="11.25">
      <c r="A40" s="3" t="s">
        <v>153</v>
      </c>
      <c r="B40" s="4" t="str">
        <f t="shared" si="3"/>
        <v>BORÍTÉK (ÖNTAPADÓS) SZILIKONOS</v>
      </c>
      <c r="C40" s="4" t="s">
        <v>47</v>
      </c>
      <c r="D40" s="6"/>
      <c r="E40" s="5"/>
      <c r="F40" s="6"/>
      <c r="G40" s="26">
        <v>1000</v>
      </c>
      <c r="H40" s="6"/>
      <c r="I40" s="6"/>
      <c r="J40" s="6">
        <v>200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7"/>
      <c r="W40" s="6"/>
      <c r="X40" s="6"/>
      <c r="Y40" s="6"/>
      <c r="Z40" s="6"/>
      <c r="AA40" s="6"/>
      <c r="AB40" s="6"/>
      <c r="AC40" s="6"/>
      <c r="AD40" s="6"/>
      <c r="AE40" s="6"/>
      <c r="AF40" s="5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11">
        <f t="shared" si="2"/>
        <v>1200</v>
      </c>
      <c r="AZ40" s="42" t="s">
        <v>18</v>
      </c>
      <c r="BA40" s="11"/>
    </row>
    <row r="41" spans="1:53" s="2" customFormat="1" ht="11.25">
      <c r="A41" s="3" t="s">
        <v>154</v>
      </c>
      <c r="B41" s="4" t="str">
        <f t="shared" si="3"/>
        <v>BORÍTÉK (ÖNTAPADÓS) SZILIKONOS</v>
      </c>
      <c r="C41" s="4" t="s">
        <v>48</v>
      </c>
      <c r="D41" s="6"/>
      <c r="E41" s="5"/>
      <c r="F41" s="6"/>
      <c r="G41" s="6"/>
      <c r="H41" s="6"/>
      <c r="I41" s="6"/>
      <c r="J41" s="6">
        <v>200</v>
      </c>
      <c r="K41" s="6"/>
      <c r="L41" s="6"/>
      <c r="M41" s="6"/>
      <c r="N41" s="6"/>
      <c r="O41" s="6"/>
      <c r="P41" s="6"/>
      <c r="Q41" s="6">
        <v>10</v>
      </c>
      <c r="R41" s="6"/>
      <c r="S41" s="6"/>
      <c r="T41" s="6"/>
      <c r="U41" s="6"/>
      <c r="V41" s="7"/>
      <c r="W41" s="6"/>
      <c r="X41" s="6"/>
      <c r="Y41" s="6"/>
      <c r="Z41" s="6"/>
      <c r="AA41" s="6"/>
      <c r="AB41" s="6"/>
      <c r="AC41" s="6"/>
      <c r="AD41" s="6"/>
      <c r="AE41" s="6"/>
      <c r="AF41" s="5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11">
        <f t="shared" si="2"/>
        <v>210</v>
      </c>
      <c r="AZ41" s="42" t="s">
        <v>18</v>
      </c>
      <c r="BA41" s="11"/>
    </row>
    <row r="42" spans="1:53" s="2" customFormat="1" ht="11.25" hidden="1">
      <c r="A42" s="3"/>
      <c r="B42" s="4" t="str">
        <f t="shared" si="3"/>
        <v>BORÍTÉK (ÖNTAPADÓS) SZILIKONOS</v>
      </c>
      <c r="C42" s="4" t="str">
        <f>"A/4"</f>
        <v>A/4</v>
      </c>
      <c r="D42" s="6"/>
      <c r="E42" s="5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7"/>
      <c r="W42" s="6"/>
      <c r="X42" s="6"/>
      <c r="Y42" s="6"/>
      <c r="Z42" s="6"/>
      <c r="AA42" s="6"/>
      <c r="AB42" s="6"/>
      <c r="AC42" s="6"/>
      <c r="AD42" s="6"/>
      <c r="AE42" s="6"/>
      <c r="AF42" s="5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11">
        <f t="shared" si="2"/>
        <v>0</v>
      </c>
      <c r="AZ42" s="42" t="s">
        <v>18</v>
      </c>
      <c r="BA42" s="11"/>
    </row>
    <row r="43" spans="1:53" s="2" customFormat="1" ht="11.25" hidden="1">
      <c r="A43" s="3"/>
      <c r="B43" s="4" t="str">
        <f t="shared" si="3"/>
        <v>BORÍTÉK (ÖNTAPADÓS) SZILIKONOS</v>
      </c>
      <c r="C43" s="4" t="str">
        <f>"A/5"</f>
        <v>A/5</v>
      </c>
      <c r="D43" s="6"/>
      <c r="E43" s="5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7"/>
      <c r="W43" s="6"/>
      <c r="X43" s="6"/>
      <c r="Y43" s="6"/>
      <c r="Z43" s="6"/>
      <c r="AA43" s="6"/>
      <c r="AB43" s="6"/>
      <c r="AC43" s="6"/>
      <c r="AD43" s="6"/>
      <c r="AE43" s="6"/>
      <c r="AF43" s="5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11">
        <f t="shared" si="2"/>
        <v>0</v>
      </c>
      <c r="AZ43" s="42" t="s">
        <v>18</v>
      </c>
      <c r="BA43" s="11"/>
    </row>
    <row r="44" spans="1:53" s="2" customFormat="1" ht="11.25" hidden="1">
      <c r="A44" s="3"/>
      <c r="B44" s="4" t="str">
        <f t="shared" si="3"/>
        <v>BORÍTÉK (ÖNTAPADÓS) SZILIKONOS</v>
      </c>
      <c r="C44" s="4" t="s">
        <v>11</v>
      </c>
      <c r="D44" s="6"/>
      <c r="E44" s="5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7"/>
      <c r="W44" s="6"/>
      <c r="X44" s="6"/>
      <c r="Y44" s="6"/>
      <c r="Z44" s="6"/>
      <c r="AA44" s="6"/>
      <c r="AB44" s="6"/>
      <c r="AC44" s="6"/>
      <c r="AD44" s="6"/>
      <c r="AE44" s="6"/>
      <c r="AF44" s="5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11">
        <f t="shared" si="2"/>
        <v>0</v>
      </c>
      <c r="AZ44" s="42" t="s">
        <v>18</v>
      </c>
      <c r="BA44" s="11"/>
    </row>
    <row r="45" spans="1:55" s="2" customFormat="1" ht="11.25" hidden="1">
      <c r="A45" s="3"/>
      <c r="B45" s="4" t="str">
        <f t="shared" si="3"/>
        <v>BORÍTÉK (ÖNTAPADÓS) SZILIKONOS</v>
      </c>
      <c r="C45" s="4"/>
      <c r="D45" s="6"/>
      <c r="E45" s="5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7"/>
      <c r="W45" s="6"/>
      <c r="X45" s="6"/>
      <c r="Y45" s="6"/>
      <c r="Z45" s="6"/>
      <c r="AA45" s="6"/>
      <c r="AB45" s="6"/>
      <c r="AC45" s="6"/>
      <c r="AD45" s="6"/>
      <c r="AE45" s="6"/>
      <c r="AF45" s="5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11">
        <f t="shared" si="2"/>
        <v>0</v>
      </c>
      <c r="AZ45" s="42" t="s">
        <v>18</v>
      </c>
      <c r="BA45" s="11"/>
      <c r="BC45" s="4"/>
    </row>
    <row r="46" spans="1:53" s="4" customFormat="1" ht="11.25" hidden="1">
      <c r="A46" s="3"/>
      <c r="B46" s="4" t="str">
        <f t="shared" si="3"/>
        <v>BORÍTÉK (ÖNTAPADÓS) SZILIKONOS</v>
      </c>
      <c r="D46" s="6"/>
      <c r="E46" s="5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7"/>
      <c r="W46" s="6"/>
      <c r="X46" s="6"/>
      <c r="Y46" s="6"/>
      <c r="Z46" s="6"/>
      <c r="AA46" s="6"/>
      <c r="AB46" s="6"/>
      <c r="AC46" s="6"/>
      <c r="AD46" s="6"/>
      <c r="AE46" s="6"/>
      <c r="AF46" s="5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11">
        <f t="shared" si="2"/>
        <v>0</v>
      </c>
      <c r="AZ46" s="42" t="s">
        <v>18</v>
      </c>
      <c r="BA46" s="6"/>
    </row>
    <row r="47" spans="1:53" s="4" customFormat="1" ht="11.25" hidden="1">
      <c r="A47" s="3"/>
      <c r="B47" s="4" t="str">
        <f t="shared" si="3"/>
        <v>BORÍTÉK (ÖNTAPADÓS) SZILIKONOS</v>
      </c>
      <c r="C47" s="4" t="str">
        <f>"B.318-206"</f>
        <v>B.318-206</v>
      </c>
      <c r="D47" s="6"/>
      <c r="E47" s="5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7"/>
      <c r="W47" s="6"/>
      <c r="X47" s="6"/>
      <c r="Y47" s="6"/>
      <c r="Z47" s="6"/>
      <c r="AA47" s="6"/>
      <c r="AB47" s="6"/>
      <c r="AC47" s="6"/>
      <c r="AD47" s="6"/>
      <c r="AE47" s="6"/>
      <c r="AF47" s="5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11">
        <f t="shared" si="2"/>
        <v>0</v>
      </c>
      <c r="AZ47" s="42" t="s">
        <v>18</v>
      </c>
      <c r="BA47" s="6"/>
    </row>
    <row r="48" spans="1:53" s="4" customFormat="1" ht="11.25" hidden="1">
      <c r="A48" s="3"/>
      <c r="B48" s="4" t="str">
        <f t="shared" si="3"/>
        <v>BORÍTÉK (ÖNTAPADÓS) SZILIKONOS</v>
      </c>
      <c r="C48" s="4" t="str">
        <f>"C.18-72"</f>
        <v>C.18-72</v>
      </c>
      <c r="D48" s="6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7"/>
      <c r="W48" s="6"/>
      <c r="X48" s="6"/>
      <c r="Y48" s="6"/>
      <c r="Z48" s="6"/>
      <c r="AA48" s="6"/>
      <c r="AB48" s="6"/>
      <c r="AC48" s="6"/>
      <c r="AD48" s="6"/>
      <c r="AE48" s="6"/>
      <c r="AF48" s="5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11">
        <f t="shared" si="2"/>
        <v>0</v>
      </c>
      <c r="AZ48" s="42" t="s">
        <v>18</v>
      </c>
      <c r="BA48" s="6"/>
    </row>
    <row r="49" spans="1:53" s="4" customFormat="1" ht="11.25" hidden="1">
      <c r="A49" s="3"/>
      <c r="B49" s="4" t="str">
        <f t="shared" si="3"/>
        <v>BORÍTÉK (ÖNTAPADÓS) SZILIKONOS</v>
      </c>
      <c r="D49" s="6"/>
      <c r="E49" s="5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7"/>
      <c r="W49" s="6"/>
      <c r="X49" s="6"/>
      <c r="Y49" s="6"/>
      <c r="Z49" s="6"/>
      <c r="AA49" s="6"/>
      <c r="AB49" s="6"/>
      <c r="AC49" s="6"/>
      <c r="AD49" s="6"/>
      <c r="AE49" s="6"/>
      <c r="AF49" s="5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11">
        <f t="shared" si="2"/>
        <v>0</v>
      </c>
      <c r="AZ49" s="42" t="s">
        <v>18</v>
      </c>
      <c r="BA49" s="6"/>
    </row>
    <row r="50" spans="1:53" s="4" customFormat="1" ht="11.25">
      <c r="A50" s="3" t="s">
        <v>155</v>
      </c>
      <c r="B50" s="4" t="s">
        <v>142</v>
      </c>
      <c r="C50" s="4" t="s">
        <v>143</v>
      </c>
      <c r="D50" s="6"/>
      <c r="E50" s="5"/>
      <c r="F50" s="6"/>
      <c r="G50" s="6"/>
      <c r="H50" s="6"/>
      <c r="I50" s="6"/>
      <c r="J50" s="6">
        <v>200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7"/>
      <c r="W50" s="6"/>
      <c r="X50" s="6"/>
      <c r="Y50" s="6"/>
      <c r="Z50" s="6"/>
      <c r="AA50" s="6"/>
      <c r="AB50" s="6"/>
      <c r="AC50" s="6"/>
      <c r="AD50" s="6"/>
      <c r="AE50" s="6"/>
      <c r="AF50" s="5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11">
        <f t="shared" si="2"/>
        <v>200</v>
      </c>
      <c r="AZ50" s="42" t="s">
        <v>18</v>
      </c>
      <c r="BA50" s="6"/>
    </row>
    <row r="51" spans="1:53" s="2" customFormat="1" ht="11.25">
      <c r="A51" s="3" t="s">
        <v>156</v>
      </c>
      <c r="B51" s="2" t="s">
        <v>54</v>
      </c>
      <c r="C51" s="2" t="s">
        <v>55</v>
      </c>
      <c r="D51" s="6">
        <v>5</v>
      </c>
      <c r="E51" s="4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7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11">
        <f t="shared" si="2"/>
        <v>5</v>
      </c>
      <c r="AZ51" s="42" t="s">
        <v>18</v>
      </c>
      <c r="BA51" s="11"/>
    </row>
    <row r="52" spans="1:53" s="2" customFormat="1" ht="11.25">
      <c r="A52" s="3" t="s">
        <v>157</v>
      </c>
      <c r="B52" s="4" t="s">
        <v>35</v>
      </c>
      <c r="C52" s="4" t="s">
        <v>12</v>
      </c>
      <c r="D52" s="6">
        <v>2</v>
      </c>
      <c r="E52" s="4"/>
      <c r="F52" s="6"/>
      <c r="G52" s="6">
        <v>5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7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11">
        <f t="shared" si="2"/>
        <v>7</v>
      </c>
      <c r="AZ52" s="42" t="s">
        <v>18</v>
      </c>
      <c r="BA52" s="11"/>
    </row>
    <row r="53" spans="1:53" s="2" customFormat="1" ht="11.25">
      <c r="A53" s="3" t="s">
        <v>158</v>
      </c>
      <c r="B53" s="4" t="str">
        <f>"CERUZA (ZEBRA) PIXIRON"</f>
        <v>CERUZA (ZEBRA) PIXIRON</v>
      </c>
      <c r="C53" s="4" t="str">
        <f>"0.5 MM"</f>
        <v>0.5 MM</v>
      </c>
      <c r="D53" s="6"/>
      <c r="E53" s="5">
        <v>1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7"/>
      <c r="W53" s="6"/>
      <c r="X53" s="6"/>
      <c r="Y53" s="6"/>
      <c r="Z53" s="6"/>
      <c r="AA53" s="6"/>
      <c r="AB53" s="6"/>
      <c r="AC53" s="6"/>
      <c r="AD53" s="6"/>
      <c r="AE53" s="6"/>
      <c r="AF53" s="5"/>
      <c r="AG53" s="6"/>
      <c r="AH53" s="6"/>
      <c r="AI53" s="6"/>
      <c r="AJ53" s="6"/>
      <c r="AK53" s="6"/>
      <c r="AL53" s="6"/>
      <c r="AM53" s="6"/>
      <c r="AN53" s="6"/>
      <c r="AO53" s="6">
        <v>2</v>
      </c>
      <c r="AP53" s="6">
        <v>2</v>
      </c>
      <c r="AQ53" s="6"/>
      <c r="AR53" s="6"/>
      <c r="AS53" s="6"/>
      <c r="AT53" s="6"/>
      <c r="AU53" s="6"/>
      <c r="AV53" s="6"/>
      <c r="AW53" s="6"/>
      <c r="AX53" s="6"/>
      <c r="AY53" s="11">
        <f t="shared" si="2"/>
        <v>5</v>
      </c>
      <c r="AZ53" s="42" t="s">
        <v>18</v>
      </c>
      <c r="BA53" s="11"/>
    </row>
    <row r="54" spans="1:53" s="4" customFormat="1" ht="11.25">
      <c r="A54" s="3" t="s">
        <v>159</v>
      </c>
      <c r="B54" s="4" t="s">
        <v>37</v>
      </c>
      <c r="C54" s="4" t="str">
        <f>"0,5 MM"</f>
        <v>0,5 MM</v>
      </c>
      <c r="D54" s="6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>
        <v>3</v>
      </c>
      <c r="V54" s="7"/>
      <c r="W54" s="6"/>
      <c r="X54" s="6"/>
      <c r="Y54" s="6"/>
      <c r="Z54" s="6"/>
      <c r="AA54" s="6"/>
      <c r="AB54" s="6"/>
      <c r="AC54" s="6"/>
      <c r="AD54" s="6"/>
      <c r="AE54" s="6"/>
      <c r="AF54" s="5"/>
      <c r="AG54" s="6"/>
      <c r="AH54" s="6"/>
      <c r="AI54" s="6"/>
      <c r="AJ54" s="6"/>
      <c r="AK54" s="6"/>
      <c r="AL54" s="6"/>
      <c r="AM54" s="6"/>
      <c r="AN54" s="6"/>
      <c r="AO54" s="6">
        <v>2</v>
      </c>
      <c r="AP54" s="6">
        <v>2</v>
      </c>
      <c r="AQ54" s="6"/>
      <c r="AR54" s="6"/>
      <c r="AS54" s="6"/>
      <c r="AT54" s="6"/>
      <c r="AU54" s="6"/>
      <c r="AV54" s="6"/>
      <c r="AW54" s="6"/>
      <c r="AX54" s="6"/>
      <c r="AY54" s="11">
        <f t="shared" si="2"/>
        <v>7</v>
      </c>
      <c r="AZ54" s="42" t="s">
        <v>18</v>
      </c>
      <c r="BA54" s="6"/>
    </row>
    <row r="55" spans="1:53" s="4" customFormat="1" ht="11.25" hidden="1">
      <c r="A55" s="3"/>
      <c r="B55" s="4" t="str">
        <f>"EMELŐGÉP NAPLÓ"</f>
        <v>EMELŐGÉP NAPLÓ</v>
      </c>
      <c r="C55" s="4" t="str">
        <f>"A/5"</f>
        <v>A/5</v>
      </c>
      <c r="D55" s="6"/>
      <c r="E55" s="5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  <c r="W55" s="6"/>
      <c r="X55" s="6"/>
      <c r="Y55" s="6"/>
      <c r="Z55" s="6"/>
      <c r="AA55" s="6"/>
      <c r="AB55" s="6"/>
      <c r="AC55" s="6"/>
      <c r="AD55" s="6"/>
      <c r="AE55" s="6"/>
      <c r="AF55" s="13"/>
      <c r="AG55" s="6"/>
      <c r="AH55" s="8"/>
      <c r="AI55" s="6"/>
      <c r="AJ55" s="6"/>
      <c r="AK55" s="6"/>
      <c r="AL55" s="6"/>
      <c r="AM55" s="6"/>
      <c r="AN55" s="6"/>
      <c r="AO55" s="6"/>
      <c r="AP55" s="6"/>
      <c r="AQ55" s="9"/>
      <c r="AR55" s="9"/>
      <c r="AS55" s="9"/>
      <c r="AT55" s="6"/>
      <c r="AU55" s="6"/>
      <c r="AV55" s="6"/>
      <c r="AW55" s="6"/>
      <c r="AX55" s="6"/>
      <c r="AY55" s="11">
        <f t="shared" si="2"/>
        <v>0</v>
      </c>
      <c r="AZ55" s="42" t="s">
        <v>18</v>
      </c>
      <c r="BA55" s="6"/>
    </row>
    <row r="56" spans="1:53" s="4" customFormat="1" ht="11.25" hidden="1">
      <c r="A56" s="3"/>
      <c r="B56" s="4" t="str">
        <f>"ENGEDÉLY TŰZVESZÉLYES MUNKAVÉGZÉSHEZ"</f>
        <v>ENGEDÉLY TŰZVESZÉLYES MUNKAVÉGZÉSHEZ</v>
      </c>
      <c r="C56" s="4" t="str">
        <f>"A/4 (25X2)"</f>
        <v>A/4 (25X2)</v>
      </c>
      <c r="D56" s="6"/>
      <c r="E56" s="5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7"/>
      <c r="W56" s="6"/>
      <c r="X56" s="6"/>
      <c r="Y56" s="6"/>
      <c r="Z56" s="6"/>
      <c r="AA56" s="6"/>
      <c r="AB56" s="6"/>
      <c r="AC56" s="6"/>
      <c r="AD56" s="6"/>
      <c r="AE56" s="6"/>
      <c r="AF56" s="13"/>
      <c r="AG56" s="6"/>
      <c r="AH56" s="8"/>
      <c r="AI56" s="6"/>
      <c r="AJ56" s="6"/>
      <c r="AK56" s="6"/>
      <c r="AL56" s="6"/>
      <c r="AM56" s="6"/>
      <c r="AN56" s="6"/>
      <c r="AO56" s="6"/>
      <c r="AP56" s="6"/>
      <c r="AQ56" s="9"/>
      <c r="AR56" s="9"/>
      <c r="AS56" s="9"/>
      <c r="AT56" s="6"/>
      <c r="AU56" s="6"/>
      <c r="AV56" s="6"/>
      <c r="AW56" s="6"/>
      <c r="AX56" s="6"/>
      <c r="AY56" s="11">
        <f t="shared" si="2"/>
        <v>0</v>
      </c>
      <c r="AZ56" s="42" t="s">
        <v>18</v>
      </c>
      <c r="BA56" s="6"/>
    </row>
    <row r="57" spans="1:53" s="4" customFormat="1" ht="11.25" hidden="1">
      <c r="A57" s="3"/>
      <c r="B57" s="4" t="str">
        <f>"ÉPÍTÉSI NAPLÓ (25X3)"</f>
        <v>ÉPÍTÉSI NAPLÓ (25X3)</v>
      </c>
      <c r="C57" s="4" t="str">
        <f>"PÁTRIA"</f>
        <v>PÁTRIA</v>
      </c>
      <c r="D57" s="6"/>
      <c r="E57" s="5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7"/>
      <c r="W57" s="6"/>
      <c r="X57" s="6"/>
      <c r="Y57" s="6"/>
      <c r="Z57" s="6"/>
      <c r="AA57" s="6"/>
      <c r="AB57" s="6"/>
      <c r="AC57" s="6"/>
      <c r="AD57" s="6"/>
      <c r="AE57" s="6"/>
      <c r="AF57" s="13"/>
      <c r="AG57" s="6"/>
      <c r="AH57" s="8"/>
      <c r="AI57" s="6"/>
      <c r="AJ57" s="6"/>
      <c r="AK57" s="6"/>
      <c r="AL57" s="6"/>
      <c r="AM57" s="6"/>
      <c r="AN57" s="6"/>
      <c r="AO57" s="6"/>
      <c r="AP57" s="6"/>
      <c r="AQ57" s="9"/>
      <c r="AR57" s="9"/>
      <c r="AS57" s="9"/>
      <c r="AT57" s="6"/>
      <c r="AU57" s="6"/>
      <c r="AV57" s="6"/>
      <c r="AW57" s="6"/>
      <c r="AX57" s="6"/>
      <c r="AY57" s="11">
        <f t="shared" si="2"/>
        <v>0</v>
      </c>
      <c r="AZ57" s="42" t="s">
        <v>18</v>
      </c>
      <c r="BA57" s="6"/>
    </row>
    <row r="58" spans="1:53" s="4" customFormat="1" ht="11.25" hidden="1">
      <c r="A58" s="3"/>
      <c r="B58" s="4" t="str">
        <f>"ETIKETT CIMKE"</f>
        <v>ETIKETT CIMKE</v>
      </c>
      <c r="C58" s="4" t="str">
        <f>"105X058 MM"</f>
        <v>105X058 MM</v>
      </c>
      <c r="D58" s="6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7"/>
      <c r="W58" s="6"/>
      <c r="X58" s="6"/>
      <c r="Y58" s="6"/>
      <c r="Z58" s="6"/>
      <c r="AA58" s="6"/>
      <c r="AB58" s="6"/>
      <c r="AC58" s="6"/>
      <c r="AD58" s="6"/>
      <c r="AE58" s="6"/>
      <c r="AF58" s="13"/>
      <c r="AG58" s="6"/>
      <c r="AH58" s="8"/>
      <c r="AI58" s="6"/>
      <c r="AJ58" s="6"/>
      <c r="AK58" s="6"/>
      <c r="AL58" s="6"/>
      <c r="AM58" s="6"/>
      <c r="AN58" s="6"/>
      <c r="AO58" s="6"/>
      <c r="AP58" s="6"/>
      <c r="AQ58" s="9"/>
      <c r="AR58" s="9"/>
      <c r="AS58" s="9"/>
      <c r="AT58" s="6"/>
      <c r="AU58" s="6"/>
      <c r="AV58" s="6"/>
      <c r="AW58" s="6"/>
      <c r="AX58" s="6"/>
      <c r="AY58" s="11">
        <f t="shared" si="2"/>
        <v>0</v>
      </c>
      <c r="AZ58" s="42" t="s">
        <v>18</v>
      </c>
      <c r="BA58" s="6"/>
    </row>
    <row r="59" spans="1:53" s="4" customFormat="1" ht="11.25" hidden="1">
      <c r="A59" s="3"/>
      <c r="B59" s="4" t="str">
        <f>"ETIKETT CIMKE"</f>
        <v>ETIKETT CIMKE</v>
      </c>
      <c r="C59" s="4" t="str">
        <f>"35 MM"</f>
        <v>35 MM</v>
      </c>
      <c r="D59" s="6"/>
      <c r="E59" s="5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7"/>
      <c r="W59" s="6"/>
      <c r="X59" s="6"/>
      <c r="Y59" s="6"/>
      <c r="Z59" s="6"/>
      <c r="AA59" s="6"/>
      <c r="AB59" s="6"/>
      <c r="AC59" s="6"/>
      <c r="AD59" s="6"/>
      <c r="AE59" s="6"/>
      <c r="AF59" s="13"/>
      <c r="AG59" s="6"/>
      <c r="AH59" s="8"/>
      <c r="AI59" s="6"/>
      <c r="AJ59" s="6"/>
      <c r="AK59" s="6"/>
      <c r="AL59" s="6"/>
      <c r="AM59" s="6"/>
      <c r="AN59" s="6"/>
      <c r="AO59" s="6"/>
      <c r="AP59" s="6"/>
      <c r="AQ59" s="9"/>
      <c r="AR59" s="9"/>
      <c r="AS59" s="9"/>
      <c r="AT59" s="6"/>
      <c r="AU59" s="6"/>
      <c r="AV59" s="6"/>
      <c r="AW59" s="6"/>
      <c r="AX59" s="6"/>
      <c r="AY59" s="11">
        <f t="shared" si="2"/>
        <v>0</v>
      </c>
      <c r="AZ59" s="42" t="s">
        <v>18</v>
      </c>
      <c r="BA59" s="6"/>
    </row>
    <row r="60" spans="1:53" s="4" customFormat="1" ht="11.25" hidden="1">
      <c r="A60" s="3"/>
      <c r="B60" s="4" t="str">
        <f>"ETIKETT CIMKE"</f>
        <v>ETIKETT CIMKE</v>
      </c>
      <c r="D60" s="6"/>
      <c r="E60" s="5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7"/>
      <c r="W60" s="6"/>
      <c r="X60" s="6"/>
      <c r="Y60" s="6"/>
      <c r="Z60" s="6"/>
      <c r="AA60" s="6"/>
      <c r="AB60" s="6"/>
      <c r="AC60" s="6"/>
      <c r="AD60" s="6"/>
      <c r="AE60" s="6"/>
      <c r="AF60" s="13"/>
      <c r="AG60" s="6"/>
      <c r="AH60" s="8"/>
      <c r="AI60" s="6"/>
      <c r="AJ60" s="6"/>
      <c r="AK60" s="6"/>
      <c r="AL60" s="6"/>
      <c r="AM60" s="6"/>
      <c r="AN60" s="6"/>
      <c r="AO60" s="6"/>
      <c r="AP60" s="6"/>
      <c r="AQ60" s="9"/>
      <c r="AR60" s="9"/>
      <c r="AS60" s="9"/>
      <c r="AT60" s="6"/>
      <c r="AU60" s="6"/>
      <c r="AV60" s="6"/>
      <c r="AW60" s="6"/>
      <c r="AX60" s="6"/>
      <c r="AY60" s="11">
        <f t="shared" si="2"/>
        <v>0</v>
      </c>
      <c r="AZ60" s="42" t="s">
        <v>18</v>
      </c>
      <c r="BA60" s="6"/>
    </row>
    <row r="61" spans="1:53" s="4" customFormat="1" ht="11.25">
      <c r="A61" s="3" t="s">
        <v>160</v>
      </c>
      <c r="B61" s="4" t="s">
        <v>101</v>
      </c>
      <c r="D61" s="6">
        <v>1</v>
      </c>
      <c r="E61" s="5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7"/>
      <c r="W61" s="6"/>
      <c r="X61" s="6"/>
      <c r="Y61" s="6"/>
      <c r="Z61" s="6"/>
      <c r="AA61" s="6"/>
      <c r="AB61" s="6"/>
      <c r="AC61" s="6"/>
      <c r="AD61" s="6"/>
      <c r="AE61" s="6"/>
      <c r="AF61" s="13"/>
      <c r="AG61" s="6"/>
      <c r="AH61" s="8"/>
      <c r="AI61" s="6"/>
      <c r="AJ61" s="6"/>
      <c r="AK61" s="6"/>
      <c r="AL61" s="6"/>
      <c r="AM61" s="6"/>
      <c r="AN61" s="6"/>
      <c r="AO61" s="6"/>
      <c r="AP61" s="6"/>
      <c r="AQ61" s="9"/>
      <c r="AR61" s="9"/>
      <c r="AS61" s="9"/>
      <c r="AT61" s="6"/>
      <c r="AU61" s="6"/>
      <c r="AV61" s="6"/>
      <c r="AW61" s="6"/>
      <c r="AX61" s="6"/>
      <c r="AY61" s="11">
        <f t="shared" si="2"/>
        <v>1</v>
      </c>
      <c r="AZ61" s="42" t="s">
        <v>18</v>
      </c>
      <c r="BA61" s="6"/>
    </row>
    <row r="62" spans="1:56" ht="11.25">
      <c r="A62" s="3" t="s">
        <v>161</v>
      </c>
      <c r="B62" s="4" t="s">
        <v>100</v>
      </c>
      <c r="C62" s="4" t="s">
        <v>98</v>
      </c>
      <c r="D62" s="6"/>
      <c r="E62" s="4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7"/>
      <c r="W62" s="6"/>
      <c r="X62" s="6"/>
      <c r="Y62" s="6"/>
      <c r="Z62" s="6"/>
      <c r="AA62" s="6"/>
      <c r="AB62" s="6"/>
      <c r="AC62" s="6"/>
      <c r="AD62" s="6"/>
      <c r="AE62" s="6"/>
      <c r="AF62" s="8"/>
      <c r="AG62" s="6"/>
      <c r="AH62" s="8"/>
      <c r="AI62" s="6"/>
      <c r="AJ62" s="6">
        <v>1</v>
      </c>
      <c r="AK62" s="6"/>
      <c r="AL62" s="6"/>
      <c r="AM62" s="6"/>
      <c r="AN62" s="6"/>
      <c r="AO62" s="6"/>
      <c r="AP62" s="6"/>
      <c r="AQ62" s="9"/>
      <c r="AR62" s="9"/>
      <c r="AS62" s="9"/>
      <c r="AT62" s="6"/>
      <c r="AU62" s="6"/>
      <c r="AV62" s="6"/>
      <c r="AW62" s="6"/>
      <c r="AX62" s="6"/>
      <c r="AY62" s="11">
        <f t="shared" si="2"/>
        <v>1</v>
      </c>
      <c r="AZ62" s="42" t="s">
        <v>18</v>
      </c>
      <c r="BA62" s="11"/>
      <c r="BB62" s="2"/>
      <c r="BC62" s="2"/>
      <c r="BD62" s="2"/>
    </row>
    <row r="63" spans="1:53" s="4" customFormat="1" ht="11.25">
      <c r="A63" s="3" t="s">
        <v>162</v>
      </c>
      <c r="B63" s="4" t="s">
        <v>309</v>
      </c>
      <c r="C63" s="4" t="s">
        <v>67</v>
      </c>
      <c r="D63" s="6"/>
      <c r="E63" s="5"/>
      <c r="F63" s="6"/>
      <c r="G63" s="6"/>
      <c r="H63" s="6"/>
      <c r="I63" s="6"/>
      <c r="J63" s="6">
        <v>200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7"/>
      <c r="W63" s="6"/>
      <c r="X63" s="6"/>
      <c r="Y63" s="6"/>
      <c r="Z63" s="6"/>
      <c r="AA63" s="6"/>
      <c r="AB63" s="6"/>
      <c r="AC63" s="6"/>
      <c r="AD63" s="6"/>
      <c r="AE63" s="6"/>
      <c r="AF63" s="13"/>
      <c r="AG63" s="6"/>
      <c r="AH63" s="8"/>
      <c r="AI63" s="6"/>
      <c r="AJ63" s="6"/>
      <c r="AK63" s="6"/>
      <c r="AL63" s="6"/>
      <c r="AM63" s="6"/>
      <c r="AN63" s="6"/>
      <c r="AO63" s="6">
        <v>5</v>
      </c>
      <c r="AP63" s="6">
        <v>5</v>
      </c>
      <c r="AQ63" s="6"/>
      <c r="AR63" s="9"/>
      <c r="AS63" s="9"/>
      <c r="AT63" s="6"/>
      <c r="AU63" s="6"/>
      <c r="AV63" s="6"/>
      <c r="AW63" s="6"/>
      <c r="AX63" s="6"/>
      <c r="AY63" s="11">
        <f t="shared" si="2"/>
        <v>210</v>
      </c>
      <c r="AZ63" s="42" t="s">
        <v>18</v>
      </c>
      <c r="BA63" s="6"/>
    </row>
    <row r="64" spans="1:53" s="2" customFormat="1" ht="11.25">
      <c r="A64" s="3" t="s">
        <v>163</v>
      </c>
      <c r="B64" s="4" t="s">
        <v>309</v>
      </c>
      <c r="C64" s="4" t="s">
        <v>84</v>
      </c>
      <c r="D64" s="6"/>
      <c r="E64" s="5"/>
      <c r="F64" s="6"/>
      <c r="G64" s="6">
        <v>25</v>
      </c>
      <c r="H64" s="6"/>
      <c r="I64" s="1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7"/>
      <c r="W64" s="6"/>
      <c r="X64" s="6"/>
      <c r="Y64" s="6"/>
      <c r="Z64" s="6"/>
      <c r="AA64" s="6"/>
      <c r="AB64" s="6"/>
      <c r="AC64" s="6"/>
      <c r="AD64" s="6"/>
      <c r="AE64" s="6"/>
      <c r="AF64" s="5"/>
      <c r="AG64" s="6"/>
      <c r="AH64" s="6"/>
      <c r="AI64" s="6"/>
      <c r="AJ64" s="6"/>
      <c r="AK64" s="6"/>
      <c r="AL64" s="6"/>
      <c r="AM64" s="6"/>
      <c r="AN64" s="6"/>
      <c r="AO64" s="6">
        <v>5</v>
      </c>
      <c r="AP64" s="6">
        <v>5</v>
      </c>
      <c r="AQ64" s="6"/>
      <c r="AR64" s="6"/>
      <c r="AS64" s="6"/>
      <c r="AT64" s="6"/>
      <c r="AU64" s="6"/>
      <c r="AV64" s="6"/>
      <c r="AW64" s="6"/>
      <c r="AX64" s="6"/>
      <c r="AY64" s="11">
        <f t="shared" si="2"/>
        <v>35</v>
      </c>
      <c r="AZ64" s="42" t="s">
        <v>18</v>
      </c>
      <c r="BA64" s="11"/>
    </row>
    <row r="65" spans="1:53" s="4" customFormat="1" ht="11.25" hidden="1">
      <c r="A65" s="3"/>
      <c r="B65" s="4" t="s">
        <v>309</v>
      </c>
      <c r="C65" s="4" t="str">
        <f>"99,1X57 MM"</f>
        <v>99,1X57 MM</v>
      </c>
      <c r="D65" s="6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7"/>
      <c r="W65" s="6"/>
      <c r="X65" s="6"/>
      <c r="Y65" s="6"/>
      <c r="Z65" s="6"/>
      <c r="AA65" s="6"/>
      <c r="AB65" s="6"/>
      <c r="AC65" s="6"/>
      <c r="AD65" s="6"/>
      <c r="AE65" s="6"/>
      <c r="AF65" s="5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11">
        <f t="shared" si="2"/>
        <v>0</v>
      </c>
      <c r="AZ65" s="41"/>
      <c r="BA65" s="6"/>
    </row>
    <row r="66" spans="1:53" s="4" customFormat="1" ht="11.25" hidden="1">
      <c r="A66" s="3"/>
      <c r="B66" s="4" t="s">
        <v>309</v>
      </c>
      <c r="C66" s="4" t="str">
        <f>"115X086 MM"</f>
        <v>115X086 MM</v>
      </c>
      <c r="D66" s="6"/>
      <c r="E66" s="5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7"/>
      <c r="W66" s="6"/>
      <c r="X66" s="6"/>
      <c r="Y66" s="6"/>
      <c r="Z66" s="6"/>
      <c r="AA66" s="6"/>
      <c r="AB66" s="6"/>
      <c r="AC66" s="6"/>
      <c r="AD66" s="6"/>
      <c r="AE66" s="6"/>
      <c r="AF66" s="5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11">
        <f t="shared" si="2"/>
        <v>0</v>
      </c>
      <c r="AZ66" s="41"/>
      <c r="BA66" s="6"/>
    </row>
    <row r="67" spans="1:53" s="4" customFormat="1" ht="11.25" hidden="1">
      <c r="A67" s="3"/>
      <c r="B67" s="4" t="s">
        <v>309</v>
      </c>
      <c r="C67" s="4" t="str">
        <f>"63,5X38,1 MM"</f>
        <v>63,5X38,1 MM</v>
      </c>
      <c r="D67" s="6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7"/>
      <c r="W67" s="6"/>
      <c r="X67" s="6"/>
      <c r="Y67" s="6"/>
      <c r="Z67" s="6"/>
      <c r="AA67" s="6"/>
      <c r="AB67" s="6"/>
      <c r="AC67" s="6"/>
      <c r="AD67" s="6"/>
      <c r="AE67" s="6"/>
      <c r="AF67" s="5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11">
        <f t="shared" si="2"/>
        <v>0</v>
      </c>
      <c r="AZ67" s="41"/>
      <c r="BA67" s="6"/>
    </row>
    <row r="68" spans="1:53" s="4" customFormat="1" ht="11.25" hidden="1">
      <c r="A68" s="3"/>
      <c r="B68" s="4" t="s">
        <v>309</v>
      </c>
      <c r="C68" s="4" t="str">
        <f>"89,0X35,0 MM"</f>
        <v>89,0X35,0 MM</v>
      </c>
      <c r="D68" s="6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7"/>
      <c r="W68" s="6"/>
      <c r="X68" s="6"/>
      <c r="Y68" s="6"/>
      <c r="Z68" s="6"/>
      <c r="AA68" s="6"/>
      <c r="AB68" s="6"/>
      <c r="AC68" s="6"/>
      <c r="AD68" s="6"/>
      <c r="AE68" s="6"/>
      <c r="AF68" s="5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11">
        <f t="shared" si="2"/>
        <v>0</v>
      </c>
      <c r="AZ68" s="41"/>
      <c r="BA68" s="6"/>
    </row>
    <row r="69" spans="1:53" s="4" customFormat="1" ht="11.25" hidden="1">
      <c r="A69" s="3"/>
      <c r="B69" s="4" t="s">
        <v>309</v>
      </c>
      <c r="C69" s="4" t="str">
        <f>"210X148 MM"</f>
        <v>210X148 MM</v>
      </c>
      <c r="D69" s="6"/>
      <c r="E69" s="5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7"/>
      <c r="W69" s="6"/>
      <c r="X69" s="6"/>
      <c r="Y69" s="6"/>
      <c r="Z69" s="6"/>
      <c r="AA69" s="6"/>
      <c r="AB69" s="6"/>
      <c r="AC69" s="6"/>
      <c r="AD69" s="6"/>
      <c r="AE69" s="6"/>
      <c r="AF69" s="5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11">
        <f t="shared" si="2"/>
        <v>0</v>
      </c>
      <c r="AZ69" s="41"/>
      <c r="BA69" s="6"/>
    </row>
    <row r="70" spans="1:53" s="4" customFormat="1" ht="11.25" hidden="1">
      <c r="A70" s="3"/>
      <c r="B70" s="4" t="s">
        <v>309</v>
      </c>
      <c r="C70" s="4" t="str">
        <f>"210X297 MM"</f>
        <v>210X297 MM</v>
      </c>
      <c r="D70" s="6"/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7"/>
      <c r="W70" s="6"/>
      <c r="X70" s="6"/>
      <c r="Y70" s="6"/>
      <c r="Z70" s="6"/>
      <c r="AA70" s="6"/>
      <c r="AB70" s="6"/>
      <c r="AC70" s="6"/>
      <c r="AD70" s="6"/>
      <c r="AE70" s="6"/>
      <c r="AF70" s="5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11">
        <f t="shared" si="2"/>
        <v>0</v>
      </c>
      <c r="AZ70" s="41"/>
      <c r="BA70" s="6"/>
    </row>
    <row r="71" spans="1:53" s="4" customFormat="1" ht="11.25" hidden="1">
      <c r="A71" s="3"/>
      <c r="B71" s="4" t="s">
        <v>309</v>
      </c>
      <c r="C71" s="4" t="str">
        <f>"PANASONIC KX-FA 54X"</f>
        <v>PANASONIC KX-FA 54X</v>
      </c>
      <c r="D71" s="6"/>
      <c r="E71" s="5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7"/>
      <c r="W71" s="6"/>
      <c r="X71" s="6"/>
      <c r="Y71" s="6"/>
      <c r="Z71" s="6"/>
      <c r="AA71" s="6"/>
      <c r="AB71" s="6"/>
      <c r="AC71" s="6"/>
      <c r="AD71" s="6"/>
      <c r="AE71" s="6"/>
      <c r="AF71" s="5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11">
        <f t="shared" si="2"/>
        <v>0</v>
      </c>
      <c r="AZ71" s="41"/>
      <c r="BA71" s="6"/>
    </row>
    <row r="72" spans="1:55" s="2" customFormat="1" ht="11.25" hidden="1">
      <c r="A72" s="3"/>
      <c r="B72" s="4" t="s">
        <v>309</v>
      </c>
      <c r="C72" s="4" t="str">
        <f>"A/4"</f>
        <v>A/4</v>
      </c>
      <c r="D72" s="6"/>
      <c r="E72" s="5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7"/>
      <c r="W72" s="6"/>
      <c r="X72" s="6"/>
      <c r="Y72" s="6"/>
      <c r="Z72" s="6"/>
      <c r="AA72" s="6"/>
      <c r="AB72" s="6"/>
      <c r="AC72" s="6"/>
      <c r="AD72" s="6"/>
      <c r="AE72" s="6"/>
      <c r="AF72" s="5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11">
        <f t="shared" si="2"/>
        <v>0</v>
      </c>
      <c r="AZ72" s="42"/>
      <c r="BA72" s="11"/>
      <c r="BC72" s="4"/>
    </row>
    <row r="73" spans="1:53" s="4" customFormat="1" ht="11.25" hidden="1">
      <c r="A73" s="3"/>
      <c r="B73" s="4" t="s">
        <v>309</v>
      </c>
      <c r="C73" s="4" t="str">
        <f>"TŰZVESZÉLYES TEVÉKENYSÉG VÉGZÉSÉHEZ"</f>
        <v>TŰZVESZÉLYES TEVÉKENYSÉG VÉGZÉSÉHEZ</v>
      </c>
      <c r="D73" s="6"/>
      <c r="E73" s="5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7"/>
      <c r="W73" s="6"/>
      <c r="X73" s="6"/>
      <c r="Y73" s="6"/>
      <c r="Z73" s="6"/>
      <c r="AA73" s="6"/>
      <c r="AB73" s="6"/>
      <c r="AC73" s="6"/>
      <c r="AD73" s="6"/>
      <c r="AE73" s="6"/>
      <c r="AF73" s="5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11">
        <f t="shared" si="2"/>
        <v>0</v>
      </c>
      <c r="AZ73" s="41"/>
      <c r="BA73" s="6"/>
    </row>
    <row r="74" spans="1:55" s="4" customFormat="1" ht="11.25" hidden="1">
      <c r="A74" s="3"/>
      <c r="B74" s="4" t="s">
        <v>309</v>
      </c>
      <c r="D74" s="6"/>
      <c r="E74" s="5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7"/>
      <c r="W74" s="6"/>
      <c r="X74" s="6"/>
      <c r="Y74" s="6"/>
      <c r="Z74" s="6"/>
      <c r="AA74" s="6"/>
      <c r="AB74" s="6"/>
      <c r="AC74" s="6"/>
      <c r="AD74" s="6"/>
      <c r="AE74" s="6"/>
      <c r="AF74" s="5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11">
        <f t="shared" si="2"/>
        <v>0</v>
      </c>
      <c r="AZ74" s="41"/>
      <c r="BA74" s="6"/>
      <c r="BC74" s="2"/>
    </row>
    <row r="75" spans="1:53" s="2" customFormat="1" ht="11.25" hidden="1">
      <c r="A75" s="3"/>
      <c r="B75" s="4" t="s">
        <v>309</v>
      </c>
      <c r="C75" s="4" t="str">
        <f>"A/4 (80 GRAMM)"</f>
        <v>A/4 (80 GRAMM)</v>
      </c>
      <c r="D75" s="6"/>
      <c r="E75" s="5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7"/>
      <c r="W75" s="6"/>
      <c r="X75" s="6"/>
      <c r="Y75" s="6"/>
      <c r="Z75" s="6"/>
      <c r="AA75" s="6"/>
      <c r="AB75" s="6"/>
      <c r="AC75" s="6"/>
      <c r="AD75" s="6"/>
      <c r="AE75" s="6"/>
      <c r="AF75" s="5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11">
        <f t="shared" si="2"/>
        <v>0</v>
      </c>
      <c r="AZ75" s="42"/>
      <c r="BA75" s="11"/>
    </row>
    <row r="76" spans="1:53" s="2" customFormat="1" ht="11.25" hidden="1">
      <c r="A76" s="3"/>
      <c r="B76" s="4" t="s">
        <v>309</v>
      </c>
      <c r="C76" s="4" t="str">
        <f>"A/4"</f>
        <v>A/4</v>
      </c>
      <c r="D76" s="6"/>
      <c r="E76" s="5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7"/>
      <c r="W76" s="6"/>
      <c r="X76" s="6"/>
      <c r="Y76" s="6"/>
      <c r="Z76" s="6"/>
      <c r="AA76" s="6"/>
      <c r="AB76" s="6"/>
      <c r="AC76" s="6"/>
      <c r="AD76" s="6"/>
      <c r="AE76" s="6"/>
      <c r="AF76" s="5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11">
        <f t="shared" si="2"/>
        <v>0</v>
      </c>
      <c r="AZ76" s="42"/>
      <c r="BA76" s="11"/>
    </row>
    <row r="77" spans="1:53" s="2" customFormat="1" ht="11.25" hidden="1">
      <c r="A77" s="3"/>
      <c r="B77" s="4" t="s">
        <v>309</v>
      </c>
      <c r="C77" s="4" t="str">
        <f>"A/4 (80 GRAMM)"</f>
        <v>A/4 (80 GRAMM)</v>
      </c>
      <c r="D77" s="6"/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7"/>
      <c r="W77" s="6"/>
      <c r="X77" s="6"/>
      <c r="Y77" s="6"/>
      <c r="Z77" s="6"/>
      <c r="AA77" s="6"/>
      <c r="AB77" s="6"/>
      <c r="AC77" s="6"/>
      <c r="AD77" s="6"/>
      <c r="AE77" s="6"/>
      <c r="AF77" s="5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11">
        <f t="shared" si="2"/>
        <v>0</v>
      </c>
      <c r="AZ77" s="42"/>
      <c r="BA77" s="11"/>
    </row>
    <row r="78" spans="1:53" s="2" customFormat="1" ht="11.25" hidden="1">
      <c r="A78" s="3"/>
      <c r="B78" s="4" t="s">
        <v>309</v>
      </c>
      <c r="C78" s="4" t="str">
        <f>"A/3 (80 GRAMM)"</f>
        <v>A/3 (80 GRAMM)</v>
      </c>
      <c r="D78" s="6"/>
      <c r="E78" s="5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7"/>
      <c r="W78" s="6"/>
      <c r="X78" s="6"/>
      <c r="Y78" s="6"/>
      <c r="Z78" s="6"/>
      <c r="AA78" s="6"/>
      <c r="AB78" s="6"/>
      <c r="AC78" s="6"/>
      <c r="AD78" s="6"/>
      <c r="AE78" s="6"/>
      <c r="AF78" s="5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11">
        <f t="shared" si="2"/>
        <v>0</v>
      </c>
      <c r="AZ78" s="42"/>
      <c r="BA78" s="11"/>
    </row>
    <row r="79" spans="1:53" s="2" customFormat="1" ht="11.25" hidden="1">
      <c r="A79" s="3"/>
      <c r="B79" s="4" t="s">
        <v>309</v>
      </c>
      <c r="C79" s="4" t="str">
        <f>"A/4 (80 GRAMM)"</f>
        <v>A/4 (80 GRAMM)</v>
      </c>
      <c r="D79" s="6"/>
      <c r="E79" s="5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7"/>
      <c r="W79" s="6"/>
      <c r="X79" s="6"/>
      <c r="Y79" s="6"/>
      <c r="Z79" s="6"/>
      <c r="AA79" s="6"/>
      <c r="AB79" s="6"/>
      <c r="AC79" s="6"/>
      <c r="AD79" s="6"/>
      <c r="AE79" s="6"/>
      <c r="AF79" s="5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11">
        <f t="shared" si="2"/>
        <v>0</v>
      </c>
      <c r="AZ79" s="42"/>
      <c r="BA79" s="11"/>
    </row>
    <row r="80" spans="1:53" s="4" customFormat="1" ht="11.25">
      <c r="A80" s="3" t="s">
        <v>164</v>
      </c>
      <c r="B80" s="4" t="s">
        <v>309</v>
      </c>
      <c r="C80" s="4" t="s">
        <v>86</v>
      </c>
      <c r="D80" s="6"/>
      <c r="E80" s="5"/>
      <c r="F80" s="6"/>
      <c r="G80" s="6">
        <v>25</v>
      </c>
      <c r="H80" s="6"/>
      <c r="I80" s="6"/>
      <c r="J80" s="6"/>
      <c r="K80" s="6"/>
      <c r="L80" s="6"/>
      <c r="M80" s="6"/>
      <c r="N80" s="6"/>
      <c r="O80" s="6"/>
      <c r="P80" s="6"/>
      <c r="Q80" s="6">
        <v>10</v>
      </c>
      <c r="R80" s="6"/>
      <c r="S80" s="6"/>
      <c r="T80" s="6"/>
      <c r="U80" s="6"/>
      <c r="V80" s="7"/>
      <c r="W80" s="6"/>
      <c r="X80" s="6"/>
      <c r="Y80" s="6"/>
      <c r="Z80" s="6"/>
      <c r="AA80" s="6"/>
      <c r="AB80" s="6"/>
      <c r="AC80" s="6"/>
      <c r="AD80" s="6"/>
      <c r="AE80" s="6"/>
      <c r="AF80" s="5"/>
      <c r="AG80" s="6"/>
      <c r="AH80" s="6"/>
      <c r="AI80" s="6"/>
      <c r="AJ80" s="6"/>
      <c r="AK80" s="6"/>
      <c r="AL80" s="6"/>
      <c r="AM80" s="6"/>
      <c r="AN80" s="6"/>
      <c r="AO80" s="6">
        <v>5</v>
      </c>
      <c r="AP80" s="6">
        <v>5</v>
      </c>
      <c r="AQ80" s="6">
        <v>150</v>
      </c>
      <c r="AR80" s="6"/>
      <c r="AS80" s="6"/>
      <c r="AT80" s="6"/>
      <c r="AU80" s="6"/>
      <c r="AV80" s="6"/>
      <c r="AW80" s="6">
        <v>20</v>
      </c>
      <c r="AX80" s="6"/>
      <c r="AY80" s="11">
        <f t="shared" si="2"/>
        <v>215</v>
      </c>
      <c r="AZ80" s="42" t="s">
        <v>18</v>
      </c>
      <c r="BA80" s="6"/>
    </row>
    <row r="81" spans="1:53" s="4" customFormat="1" ht="11.25" hidden="1">
      <c r="A81" s="3"/>
      <c r="B81" s="4" t="s">
        <v>309</v>
      </c>
      <c r="D81" s="6"/>
      <c r="E81" s="5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7"/>
      <c r="W81" s="6"/>
      <c r="X81" s="6"/>
      <c r="Y81" s="6"/>
      <c r="Z81" s="6"/>
      <c r="AA81" s="6"/>
      <c r="AB81" s="6"/>
      <c r="AC81" s="6"/>
      <c r="AD81" s="6"/>
      <c r="AE81" s="6"/>
      <c r="AF81" s="5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11">
        <f aca="true" t="shared" si="4" ref="AY81:AY141">SUM(D81:AX81)</f>
        <v>0</v>
      </c>
      <c r="AZ81" s="41"/>
      <c r="BA81" s="6"/>
    </row>
    <row r="82" spans="1:53" s="4" customFormat="1" ht="11.25" hidden="1">
      <c r="A82" s="3"/>
      <c r="B82" s="4" t="s">
        <v>309</v>
      </c>
      <c r="D82" s="6"/>
      <c r="E82" s="5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7"/>
      <c r="W82" s="6"/>
      <c r="X82" s="6"/>
      <c r="Y82" s="6"/>
      <c r="Z82" s="6"/>
      <c r="AA82" s="6"/>
      <c r="AB82" s="6"/>
      <c r="AC82" s="6"/>
      <c r="AD82" s="6"/>
      <c r="AE82" s="6"/>
      <c r="AF82" s="5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11">
        <f t="shared" si="4"/>
        <v>0</v>
      </c>
      <c r="AZ82" s="41"/>
      <c r="BA82" s="6"/>
    </row>
    <row r="83" spans="1:53" s="4" customFormat="1" ht="11.25" hidden="1">
      <c r="A83" s="3"/>
      <c r="B83" s="4" t="s">
        <v>309</v>
      </c>
      <c r="C83" s="4" t="str">
        <f>"SHARP ASZTALI SZÁMOLÓGÉPHEZ"</f>
        <v>SHARP ASZTALI SZÁMOLÓGÉPHEZ</v>
      </c>
      <c r="D83" s="6"/>
      <c r="E83" s="5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7"/>
      <c r="W83" s="6"/>
      <c r="X83" s="6"/>
      <c r="Y83" s="6"/>
      <c r="Z83" s="6"/>
      <c r="AA83" s="6"/>
      <c r="AB83" s="6"/>
      <c r="AC83" s="6"/>
      <c r="AD83" s="6"/>
      <c r="AE83" s="6"/>
      <c r="AF83" s="5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11">
        <f t="shared" si="4"/>
        <v>0</v>
      </c>
      <c r="AZ83" s="41"/>
      <c r="BA83" s="6"/>
    </row>
    <row r="84" spans="1:53" s="4" customFormat="1" ht="11.25" hidden="1">
      <c r="A84" s="3"/>
      <c r="B84" s="4" t="s">
        <v>309</v>
      </c>
      <c r="D84" s="6"/>
      <c r="E84" s="5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7"/>
      <c r="W84" s="6"/>
      <c r="X84" s="6"/>
      <c r="Y84" s="6"/>
      <c r="Z84" s="6"/>
      <c r="AA84" s="6"/>
      <c r="AB84" s="6"/>
      <c r="AC84" s="6"/>
      <c r="AD84" s="6"/>
      <c r="AE84" s="6"/>
      <c r="AF84" s="5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11">
        <f t="shared" si="4"/>
        <v>0</v>
      </c>
      <c r="AZ84" s="41"/>
      <c r="BA84" s="6"/>
    </row>
    <row r="85" spans="1:53" s="4" customFormat="1" ht="11.25" hidden="1">
      <c r="A85" s="3"/>
      <c r="B85" s="4" t="s">
        <v>309</v>
      </c>
      <c r="D85" s="6"/>
      <c r="E85" s="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7"/>
      <c r="W85" s="6"/>
      <c r="X85" s="6"/>
      <c r="Y85" s="6"/>
      <c r="Z85" s="6"/>
      <c r="AA85" s="6"/>
      <c r="AB85" s="6"/>
      <c r="AC85" s="6"/>
      <c r="AD85" s="6"/>
      <c r="AE85" s="6"/>
      <c r="AF85" s="5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11">
        <f t="shared" si="4"/>
        <v>0</v>
      </c>
      <c r="AZ85" s="41"/>
      <c r="BA85" s="6"/>
    </row>
    <row r="86" spans="1:53" s="4" customFormat="1" ht="11.25" hidden="1">
      <c r="A86" s="3"/>
      <c r="B86" s="4" t="s">
        <v>309</v>
      </c>
      <c r="D86" s="6"/>
      <c r="E86" s="5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7"/>
      <c r="W86" s="6"/>
      <c r="X86" s="6"/>
      <c r="Y86" s="6"/>
      <c r="Z86" s="6"/>
      <c r="AA86" s="6"/>
      <c r="AB86" s="6"/>
      <c r="AC86" s="6"/>
      <c r="AD86" s="6"/>
      <c r="AE86" s="6"/>
      <c r="AF86" s="5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11">
        <f t="shared" si="4"/>
        <v>0</v>
      </c>
      <c r="AZ86" s="41"/>
      <c r="BA86" s="6"/>
    </row>
    <row r="87" spans="1:53" s="4" customFormat="1" ht="11.25" hidden="1">
      <c r="A87" s="3"/>
      <c r="B87" s="4" t="s">
        <v>309</v>
      </c>
      <c r="D87" s="6"/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7"/>
      <c r="W87" s="6"/>
      <c r="X87" s="6"/>
      <c r="Y87" s="6"/>
      <c r="Z87" s="6"/>
      <c r="AA87" s="6"/>
      <c r="AB87" s="6"/>
      <c r="AC87" s="6"/>
      <c r="AD87" s="6"/>
      <c r="AE87" s="6"/>
      <c r="AF87" s="5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11">
        <f t="shared" si="4"/>
        <v>0</v>
      </c>
      <c r="AZ87" s="41"/>
      <c r="BA87" s="6"/>
    </row>
    <row r="88" spans="1:55" s="4" customFormat="1" ht="11.25" hidden="1">
      <c r="A88" s="3"/>
      <c r="B88" s="4" t="s">
        <v>309</v>
      </c>
      <c r="D88" s="6"/>
      <c r="E88" s="5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7"/>
      <c r="W88" s="6"/>
      <c r="X88" s="6"/>
      <c r="Y88" s="6"/>
      <c r="Z88" s="6"/>
      <c r="AA88" s="6"/>
      <c r="AB88" s="6"/>
      <c r="AC88" s="6"/>
      <c r="AD88" s="6"/>
      <c r="AE88" s="6"/>
      <c r="AF88" s="5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11">
        <f t="shared" si="4"/>
        <v>0</v>
      </c>
      <c r="AZ88" s="41"/>
      <c r="BA88" s="6"/>
      <c r="BC88" s="2"/>
    </row>
    <row r="89" spans="1:53" s="2" customFormat="1" ht="11.25" hidden="1">
      <c r="A89" s="3"/>
      <c r="B89" s="4" t="s">
        <v>309</v>
      </c>
      <c r="C89" s="4"/>
      <c r="D89" s="6"/>
      <c r="E89" s="5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7"/>
      <c r="W89" s="6"/>
      <c r="X89" s="6"/>
      <c r="Y89" s="6"/>
      <c r="Z89" s="6"/>
      <c r="AA89" s="6"/>
      <c r="AB89" s="6"/>
      <c r="AC89" s="6"/>
      <c r="AD89" s="6"/>
      <c r="AE89" s="6"/>
      <c r="AF89" s="5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11">
        <f t="shared" si="4"/>
        <v>0</v>
      </c>
      <c r="AZ89" s="42"/>
      <c r="BA89" s="11"/>
    </row>
    <row r="90" spans="1:53" s="2" customFormat="1" ht="11.25" hidden="1">
      <c r="A90" s="3"/>
      <c r="B90" s="4" t="s">
        <v>309</v>
      </c>
      <c r="C90" s="4" t="str">
        <f>"A/4 (102GR/M2) 100DB-OS"</f>
        <v>A/4 (102GR/M2) 100DB-OS</v>
      </c>
      <c r="D90" s="6"/>
      <c r="E90" s="5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7"/>
      <c r="W90" s="6"/>
      <c r="X90" s="6"/>
      <c r="Y90" s="6"/>
      <c r="Z90" s="6"/>
      <c r="AA90" s="6"/>
      <c r="AB90" s="6"/>
      <c r="AC90" s="6"/>
      <c r="AD90" s="6"/>
      <c r="AE90" s="6"/>
      <c r="AF90" s="5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11">
        <f t="shared" si="4"/>
        <v>0</v>
      </c>
      <c r="AZ90" s="42"/>
      <c r="BA90" s="11"/>
    </row>
    <row r="91" spans="1:53" s="2" customFormat="1" ht="11.25" hidden="1">
      <c r="A91" s="3"/>
      <c r="B91" s="4" t="s">
        <v>309</v>
      </c>
      <c r="C91" s="4" t="str">
        <f>"A/4"</f>
        <v>A/4</v>
      </c>
      <c r="D91" s="6"/>
      <c r="E91" s="5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7"/>
      <c r="W91" s="6"/>
      <c r="X91" s="6"/>
      <c r="Y91" s="6"/>
      <c r="Z91" s="6"/>
      <c r="AA91" s="6"/>
      <c r="AB91" s="6"/>
      <c r="AC91" s="6"/>
      <c r="AD91" s="6"/>
      <c r="AE91" s="6"/>
      <c r="AF91" s="5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11">
        <f t="shared" si="4"/>
        <v>0</v>
      </c>
      <c r="AZ91" s="42"/>
      <c r="BA91" s="11"/>
    </row>
    <row r="92" spans="1:53" s="2" customFormat="1" ht="11.25" hidden="1">
      <c r="A92" s="3"/>
      <c r="B92" s="4" t="s">
        <v>309</v>
      </c>
      <c r="C92" s="4" t="str">
        <f>"A/4"</f>
        <v>A/4</v>
      </c>
      <c r="D92" s="6"/>
      <c r="E92" s="5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7"/>
      <c r="W92" s="6"/>
      <c r="X92" s="6"/>
      <c r="Y92" s="6"/>
      <c r="Z92" s="6"/>
      <c r="AA92" s="6"/>
      <c r="AB92" s="6"/>
      <c r="AC92" s="6"/>
      <c r="AD92" s="6"/>
      <c r="AE92" s="6"/>
      <c r="AF92" s="5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11">
        <f t="shared" si="4"/>
        <v>0</v>
      </c>
      <c r="AZ92" s="42"/>
      <c r="BA92" s="11"/>
    </row>
    <row r="93" spans="1:53" s="2" customFormat="1" ht="11.25" hidden="1">
      <c r="A93" s="3"/>
      <c r="B93" s="4" t="s">
        <v>309</v>
      </c>
      <c r="C93" s="4" t="str">
        <f>"A/3"</f>
        <v>A/3</v>
      </c>
      <c r="D93" s="6"/>
      <c r="E93" s="5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7"/>
      <c r="W93" s="6"/>
      <c r="X93" s="6"/>
      <c r="Y93" s="6"/>
      <c r="Z93" s="6"/>
      <c r="AA93" s="6"/>
      <c r="AB93" s="6"/>
      <c r="AC93" s="6"/>
      <c r="AD93" s="6"/>
      <c r="AE93" s="6"/>
      <c r="AF93" s="5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11">
        <f t="shared" si="4"/>
        <v>0</v>
      </c>
      <c r="AZ93" s="42"/>
      <c r="BA93" s="11"/>
    </row>
    <row r="94" spans="1:55" s="2" customFormat="1" ht="11.25" hidden="1">
      <c r="A94" s="3"/>
      <c r="B94" s="4" t="s">
        <v>309</v>
      </c>
      <c r="C94" s="4" t="str">
        <f>"A/4"</f>
        <v>A/4</v>
      </c>
      <c r="D94" s="6"/>
      <c r="E94" s="5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7"/>
      <c r="W94" s="6"/>
      <c r="X94" s="6"/>
      <c r="Y94" s="6"/>
      <c r="Z94" s="6"/>
      <c r="AA94" s="6"/>
      <c r="AB94" s="6"/>
      <c r="AC94" s="6"/>
      <c r="AD94" s="6"/>
      <c r="AE94" s="6"/>
      <c r="AF94" s="5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11">
        <f t="shared" si="4"/>
        <v>0</v>
      </c>
      <c r="AZ94" s="42"/>
      <c r="BA94" s="11"/>
      <c r="BC94" s="4"/>
    </row>
    <row r="95" spans="1:53" s="2" customFormat="1" ht="11.25">
      <c r="A95" s="3" t="s">
        <v>165</v>
      </c>
      <c r="B95" s="4" t="s">
        <v>309</v>
      </c>
      <c r="C95" s="4" t="s">
        <v>85</v>
      </c>
      <c r="D95" s="6"/>
      <c r="E95" s="5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7"/>
      <c r="W95" s="6"/>
      <c r="X95" s="6"/>
      <c r="Y95" s="6"/>
      <c r="Z95" s="6"/>
      <c r="AA95" s="6"/>
      <c r="AB95" s="6"/>
      <c r="AC95" s="6"/>
      <c r="AD95" s="6"/>
      <c r="AE95" s="6"/>
      <c r="AF95" s="5"/>
      <c r="AG95" s="6"/>
      <c r="AH95" s="6"/>
      <c r="AI95" s="6"/>
      <c r="AJ95" s="6"/>
      <c r="AK95" s="6"/>
      <c r="AL95" s="6"/>
      <c r="AM95" s="6"/>
      <c r="AN95" s="6"/>
      <c r="AO95" s="6">
        <v>5</v>
      </c>
      <c r="AP95" s="6">
        <v>5</v>
      </c>
      <c r="AQ95" s="6"/>
      <c r="AR95" s="6"/>
      <c r="AS95" s="6"/>
      <c r="AT95" s="6"/>
      <c r="AU95" s="6"/>
      <c r="AV95" s="6"/>
      <c r="AW95" s="6"/>
      <c r="AX95" s="6"/>
      <c r="AY95" s="11">
        <f t="shared" si="4"/>
        <v>10</v>
      </c>
      <c r="AZ95" s="42" t="s">
        <v>18</v>
      </c>
      <c r="BA95" s="11"/>
    </row>
    <row r="96" spans="1:53" s="2" customFormat="1" ht="11.25" hidden="1">
      <c r="A96" s="3"/>
      <c r="B96" s="4" t="str">
        <f>"DOSSZIÉ (MŰANYAG HÁTLAPOS) TOVÁBB FŰZŐS"</f>
        <v>DOSSZIÉ (MŰANYAG HÁTLAPOS) TOVÁBB FŰZŐS</v>
      </c>
      <c r="C96" s="4" t="str">
        <f>"A/4"</f>
        <v>A/4</v>
      </c>
      <c r="D96" s="6"/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7"/>
      <c r="W96" s="6"/>
      <c r="X96" s="6"/>
      <c r="Y96" s="6"/>
      <c r="Z96" s="6"/>
      <c r="AA96" s="6"/>
      <c r="AB96" s="6"/>
      <c r="AC96" s="6"/>
      <c r="AD96" s="6"/>
      <c r="AE96" s="6"/>
      <c r="AF96" s="5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11">
        <f t="shared" si="4"/>
        <v>0</v>
      </c>
      <c r="AZ96" s="42" t="s">
        <v>18</v>
      </c>
      <c r="BA96" s="11"/>
    </row>
    <row r="97" spans="1:53" s="2" customFormat="1" ht="11.25">
      <c r="A97" s="3" t="s">
        <v>166</v>
      </c>
      <c r="B97" s="4" t="str">
        <f>"DOSSZIÉ (PAPÍR) FŰZŐS"</f>
        <v>DOSSZIÉ (PAPÍR) FŰZŐS</v>
      </c>
      <c r="C97" s="4" t="str">
        <f>"A/4"</f>
        <v>A/4</v>
      </c>
      <c r="D97" s="6"/>
      <c r="E97" s="5">
        <v>20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>
        <v>10</v>
      </c>
      <c r="R97" s="6"/>
      <c r="S97" s="6"/>
      <c r="T97" s="6"/>
      <c r="U97" s="6"/>
      <c r="V97" s="7"/>
      <c r="W97" s="6"/>
      <c r="X97" s="6"/>
      <c r="Y97" s="6"/>
      <c r="Z97" s="6"/>
      <c r="AA97" s="6"/>
      <c r="AB97" s="6"/>
      <c r="AC97" s="6"/>
      <c r="AD97" s="6"/>
      <c r="AE97" s="6"/>
      <c r="AF97" s="5"/>
      <c r="AG97" s="6"/>
      <c r="AH97" s="6"/>
      <c r="AI97" s="6"/>
      <c r="AJ97" s="6">
        <v>100</v>
      </c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>
        <v>5</v>
      </c>
      <c r="AV97" s="6"/>
      <c r="AW97" s="6">
        <v>20</v>
      </c>
      <c r="AX97" s="6"/>
      <c r="AY97" s="11">
        <f t="shared" si="4"/>
        <v>155</v>
      </c>
      <c r="AZ97" s="42" t="s">
        <v>18</v>
      </c>
      <c r="BA97" s="11"/>
    </row>
    <row r="98" spans="1:53" s="2" customFormat="1" ht="11.25">
      <c r="A98" s="3" t="s">
        <v>167</v>
      </c>
      <c r="B98" s="4" t="str">
        <f>"DOSSZIÉ (PAPÍR) PÓLYÁS-HAJTOGATÓS"</f>
        <v>DOSSZIÉ (PAPÍR) PÓLYÁS-HAJTOGATÓS</v>
      </c>
      <c r="C98" s="4" t="str">
        <f>"A/4"</f>
        <v>A/4</v>
      </c>
      <c r="D98" s="6"/>
      <c r="E98" s="5">
        <v>20</v>
      </c>
      <c r="F98" s="6"/>
      <c r="G98" s="6">
        <v>20</v>
      </c>
      <c r="H98" s="6"/>
      <c r="I98" s="6"/>
      <c r="J98" s="6"/>
      <c r="K98" s="6"/>
      <c r="L98" s="6"/>
      <c r="M98" s="6"/>
      <c r="N98" s="6"/>
      <c r="O98" s="6"/>
      <c r="P98" s="6"/>
      <c r="Q98" s="6">
        <v>10</v>
      </c>
      <c r="R98" s="6"/>
      <c r="S98" s="6"/>
      <c r="T98" s="6"/>
      <c r="U98" s="6"/>
      <c r="V98" s="7"/>
      <c r="W98" s="6"/>
      <c r="X98" s="6"/>
      <c r="Y98" s="6"/>
      <c r="Z98" s="6"/>
      <c r="AA98" s="6"/>
      <c r="AB98" s="6"/>
      <c r="AC98" s="6"/>
      <c r="AD98" s="6"/>
      <c r="AE98" s="6"/>
      <c r="AF98" s="5"/>
      <c r="AG98" s="6"/>
      <c r="AH98" s="6"/>
      <c r="AI98" s="6"/>
      <c r="AJ98" s="6"/>
      <c r="AK98" s="6"/>
      <c r="AL98" s="6"/>
      <c r="AM98" s="6"/>
      <c r="AN98" s="6">
        <v>10</v>
      </c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11">
        <f t="shared" si="4"/>
        <v>60</v>
      </c>
      <c r="AZ98" s="42" t="s">
        <v>18</v>
      </c>
      <c r="BA98" s="11"/>
    </row>
    <row r="99" spans="1:53" s="2" customFormat="1" ht="11.25" hidden="1">
      <c r="A99" s="3"/>
      <c r="B99" s="4" t="str">
        <f>"GÉMKAPOCS TARTÓ"</f>
        <v>GÉMKAPOCS TARTÓ</v>
      </c>
      <c r="C99" s="4" t="str">
        <f>"MÁGNESES"</f>
        <v>MÁGNESES</v>
      </c>
      <c r="D99" s="6"/>
      <c r="E99" s="5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7"/>
      <c r="W99" s="6"/>
      <c r="X99" s="6"/>
      <c r="Y99" s="6"/>
      <c r="Z99" s="6"/>
      <c r="AA99" s="6"/>
      <c r="AB99" s="6"/>
      <c r="AC99" s="6"/>
      <c r="AD99" s="6"/>
      <c r="AE99" s="6"/>
      <c r="AF99" s="5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11">
        <f t="shared" si="4"/>
        <v>0</v>
      </c>
      <c r="AZ99" s="42" t="s">
        <v>18</v>
      </c>
      <c r="BA99" s="11"/>
    </row>
    <row r="100" spans="1:53" s="2" customFormat="1" ht="11.25" hidden="1">
      <c r="A100" s="3"/>
      <c r="B100" s="4" t="str">
        <f>"GENOTHERMA (FÜLES)"</f>
        <v>GENOTHERMA (FÜLES)</v>
      </c>
      <c r="C100" s="4" t="str">
        <f>"A/4"</f>
        <v>A/4</v>
      </c>
      <c r="D100" s="6"/>
      <c r="E100" s="5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7"/>
      <c r="W100" s="6"/>
      <c r="X100" s="6"/>
      <c r="Y100" s="6"/>
      <c r="Z100" s="6"/>
      <c r="AA100" s="6"/>
      <c r="AB100" s="6"/>
      <c r="AC100" s="6"/>
      <c r="AD100" s="6"/>
      <c r="AE100" s="6"/>
      <c r="AF100" s="5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11">
        <f t="shared" si="4"/>
        <v>0</v>
      </c>
      <c r="AZ100" s="42" t="s">
        <v>18</v>
      </c>
      <c r="BA100" s="11"/>
    </row>
    <row r="101" spans="1:53" s="2" customFormat="1" ht="11.25">
      <c r="A101" s="3" t="s">
        <v>168</v>
      </c>
      <c r="B101" s="4" t="s">
        <v>138</v>
      </c>
      <c r="C101" s="4" t="s">
        <v>296</v>
      </c>
      <c r="D101" s="6"/>
      <c r="E101" s="4"/>
      <c r="F101" s="6"/>
      <c r="G101" s="6">
        <v>20</v>
      </c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7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>
        <v>20</v>
      </c>
      <c r="AP101" s="6">
        <v>20</v>
      </c>
      <c r="AQ101" s="6"/>
      <c r="AR101" s="6"/>
      <c r="AS101" s="6"/>
      <c r="AT101" s="6"/>
      <c r="AU101" s="6"/>
      <c r="AV101" s="6"/>
      <c r="AW101" s="6"/>
      <c r="AX101" s="6"/>
      <c r="AY101" s="11">
        <f t="shared" si="4"/>
        <v>60</v>
      </c>
      <c r="AZ101" s="41" t="s">
        <v>27</v>
      </c>
      <c r="BA101" s="11"/>
    </row>
    <row r="102" spans="1:53" s="4" customFormat="1" ht="11.25" hidden="1">
      <c r="A102" s="3" t="s">
        <v>175</v>
      </c>
      <c r="B102" s="4" t="s">
        <v>87</v>
      </c>
      <c r="C102" s="4" t="str">
        <f>"A/4"</f>
        <v>A/4</v>
      </c>
      <c r="D102" s="6"/>
      <c r="E102" s="5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7"/>
      <c r="W102" s="6"/>
      <c r="X102" s="6"/>
      <c r="Y102" s="6"/>
      <c r="Z102" s="6"/>
      <c r="AA102" s="6"/>
      <c r="AB102" s="6"/>
      <c r="AC102" s="6"/>
      <c r="AD102" s="6"/>
      <c r="AE102" s="6"/>
      <c r="AF102" s="5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11">
        <f t="shared" si="4"/>
        <v>0</v>
      </c>
      <c r="AZ102" s="41" t="s">
        <v>27</v>
      </c>
      <c r="BA102" s="6"/>
    </row>
    <row r="103" spans="1:53" s="4" customFormat="1" ht="11.25" hidden="1">
      <c r="A103" s="3" t="s">
        <v>176</v>
      </c>
      <c r="B103" s="4" t="s">
        <v>88</v>
      </c>
      <c r="C103" s="4" t="str">
        <f>"A/4"</f>
        <v>A/4</v>
      </c>
      <c r="D103" s="6"/>
      <c r="E103" s="5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7"/>
      <c r="W103" s="6"/>
      <c r="X103" s="6"/>
      <c r="Y103" s="6"/>
      <c r="Z103" s="6"/>
      <c r="AA103" s="6"/>
      <c r="AB103" s="6"/>
      <c r="AC103" s="6"/>
      <c r="AD103" s="6"/>
      <c r="AE103" s="6"/>
      <c r="AF103" s="5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11">
        <f t="shared" si="4"/>
        <v>0</v>
      </c>
      <c r="AZ103" s="41" t="s">
        <v>27</v>
      </c>
      <c r="BA103" s="6"/>
    </row>
    <row r="104" spans="1:53" s="4" customFormat="1" ht="11.25" hidden="1">
      <c r="A104" s="3" t="s">
        <v>177</v>
      </c>
      <c r="B104" s="4" t="s">
        <v>89</v>
      </c>
      <c r="D104" s="6"/>
      <c r="E104" s="5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7"/>
      <c r="W104" s="6"/>
      <c r="X104" s="6"/>
      <c r="Y104" s="6"/>
      <c r="Z104" s="6"/>
      <c r="AA104" s="6"/>
      <c r="AB104" s="6"/>
      <c r="AC104" s="6"/>
      <c r="AD104" s="6"/>
      <c r="AE104" s="6"/>
      <c r="AF104" s="5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11">
        <f t="shared" si="4"/>
        <v>0</v>
      </c>
      <c r="AZ104" s="41" t="s">
        <v>27</v>
      </c>
      <c r="BA104" s="6"/>
    </row>
    <row r="105" spans="1:53" s="4" customFormat="1" ht="11.25" hidden="1">
      <c r="A105" s="3" t="s">
        <v>178</v>
      </c>
      <c r="B105" s="4" t="s">
        <v>90</v>
      </c>
      <c r="D105" s="6"/>
      <c r="E105" s="5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7"/>
      <c r="W105" s="6"/>
      <c r="X105" s="6"/>
      <c r="Y105" s="6"/>
      <c r="Z105" s="6"/>
      <c r="AA105" s="6"/>
      <c r="AB105" s="6"/>
      <c r="AC105" s="6"/>
      <c r="AD105" s="6"/>
      <c r="AE105" s="6"/>
      <c r="AF105" s="5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11">
        <f t="shared" si="4"/>
        <v>0</v>
      </c>
      <c r="AZ105" s="41" t="s">
        <v>27</v>
      </c>
      <c r="BA105" s="6"/>
    </row>
    <row r="106" spans="1:53" s="4" customFormat="1" ht="11.25" hidden="1">
      <c r="A106" s="3" t="s">
        <v>179</v>
      </c>
      <c r="B106" s="4" t="s">
        <v>91</v>
      </c>
      <c r="D106" s="6"/>
      <c r="E106" s="5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7"/>
      <c r="W106" s="6"/>
      <c r="X106" s="6"/>
      <c r="Y106" s="6"/>
      <c r="Z106" s="6"/>
      <c r="AA106" s="6"/>
      <c r="AB106" s="6"/>
      <c r="AC106" s="6"/>
      <c r="AD106" s="6"/>
      <c r="AE106" s="6"/>
      <c r="AF106" s="5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11">
        <f t="shared" si="4"/>
        <v>0</v>
      </c>
      <c r="AZ106" s="41" t="s">
        <v>27</v>
      </c>
      <c r="BA106" s="6"/>
    </row>
    <row r="107" spans="1:53" s="4" customFormat="1" ht="11.25" hidden="1">
      <c r="A107" s="3" t="s">
        <v>180</v>
      </c>
      <c r="B107" s="4" t="s">
        <v>92</v>
      </c>
      <c r="D107" s="6"/>
      <c r="E107" s="5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7"/>
      <c r="W107" s="6"/>
      <c r="X107" s="6"/>
      <c r="Y107" s="6"/>
      <c r="Z107" s="6"/>
      <c r="AA107" s="6"/>
      <c r="AB107" s="6"/>
      <c r="AC107" s="6"/>
      <c r="AD107" s="6"/>
      <c r="AE107" s="6"/>
      <c r="AF107" s="5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11">
        <f t="shared" si="4"/>
        <v>0</v>
      </c>
      <c r="AZ107" s="41" t="s">
        <v>27</v>
      </c>
      <c r="BA107" s="6"/>
    </row>
    <row r="108" spans="1:53" s="4" customFormat="1" ht="11.25" hidden="1">
      <c r="A108" s="3" t="s">
        <v>181</v>
      </c>
      <c r="B108" s="4" t="s">
        <v>93</v>
      </c>
      <c r="D108" s="6"/>
      <c r="E108" s="5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7"/>
      <c r="W108" s="6"/>
      <c r="X108" s="6"/>
      <c r="Y108" s="6"/>
      <c r="Z108" s="6"/>
      <c r="AA108" s="6"/>
      <c r="AB108" s="6"/>
      <c r="AC108" s="6"/>
      <c r="AD108" s="6"/>
      <c r="AE108" s="6"/>
      <c r="AF108" s="5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11">
        <f t="shared" si="4"/>
        <v>0</v>
      </c>
      <c r="AZ108" s="41" t="s">
        <v>27</v>
      </c>
      <c r="BA108" s="6"/>
    </row>
    <row r="109" spans="1:53" s="4" customFormat="1" ht="11.25" hidden="1">
      <c r="A109" s="3" t="s">
        <v>182</v>
      </c>
      <c r="B109" s="4" t="s">
        <v>123</v>
      </c>
      <c r="D109" s="6"/>
      <c r="E109" s="5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7"/>
      <c r="W109" s="6"/>
      <c r="X109" s="6"/>
      <c r="Y109" s="6"/>
      <c r="Z109" s="6"/>
      <c r="AA109" s="6"/>
      <c r="AB109" s="6"/>
      <c r="AC109" s="6"/>
      <c r="AD109" s="6"/>
      <c r="AE109" s="6"/>
      <c r="AF109" s="5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11">
        <f t="shared" si="4"/>
        <v>0</v>
      </c>
      <c r="AZ109" s="41" t="s">
        <v>27</v>
      </c>
      <c r="BA109" s="6"/>
    </row>
    <row r="110" spans="1:53" s="4" customFormat="1" ht="11.25">
      <c r="A110" s="3" t="s">
        <v>169</v>
      </c>
      <c r="B110" s="4" t="s">
        <v>295</v>
      </c>
      <c r="C110" s="4" t="s">
        <v>117</v>
      </c>
      <c r="D110" s="6"/>
      <c r="E110" s="5"/>
      <c r="F110" s="6"/>
      <c r="G110" s="6">
        <v>20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7"/>
      <c r="W110" s="6"/>
      <c r="X110" s="6"/>
      <c r="Y110" s="6"/>
      <c r="Z110" s="6"/>
      <c r="AA110" s="6"/>
      <c r="AB110" s="6"/>
      <c r="AC110" s="6"/>
      <c r="AD110" s="6"/>
      <c r="AE110" s="6"/>
      <c r="AF110" s="5"/>
      <c r="AG110" s="6"/>
      <c r="AH110" s="6"/>
      <c r="AI110" s="6"/>
      <c r="AJ110" s="6"/>
      <c r="AK110" s="6"/>
      <c r="AL110" s="6"/>
      <c r="AM110" s="6"/>
      <c r="AN110" s="6"/>
      <c r="AO110" s="6">
        <v>20</v>
      </c>
      <c r="AP110" s="6">
        <v>20</v>
      </c>
      <c r="AQ110" s="6"/>
      <c r="AR110" s="6"/>
      <c r="AS110" s="6"/>
      <c r="AT110" s="6"/>
      <c r="AU110" s="6"/>
      <c r="AV110" s="6"/>
      <c r="AW110" s="6"/>
      <c r="AX110" s="6"/>
      <c r="AY110" s="11">
        <f t="shared" si="4"/>
        <v>60</v>
      </c>
      <c r="AZ110" s="41" t="s">
        <v>27</v>
      </c>
      <c r="BA110" s="6"/>
    </row>
    <row r="111" spans="1:53" s="4" customFormat="1" ht="11.25">
      <c r="A111" s="3" t="s">
        <v>170</v>
      </c>
      <c r="B111" s="4" t="s">
        <v>65</v>
      </c>
      <c r="C111" s="1" t="s">
        <v>126</v>
      </c>
      <c r="D111" s="6"/>
      <c r="E111" s="5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7"/>
      <c r="W111" s="6"/>
      <c r="X111" s="6"/>
      <c r="Y111" s="6"/>
      <c r="Z111" s="6"/>
      <c r="AA111" s="6"/>
      <c r="AB111" s="6"/>
      <c r="AC111" s="6"/>
      <c r="AD111" s="6"/>
      <c r="AE111" s="6"/>
      <c r="AF111" s="5"/>
      <c r="AG111" s="6"/>
      <c r="AH111" s="6"/>
      <c r="AI111" s="6"/>
      <c r="AJ111" s="6"/>
      <c r="AK111" s="6"/>
      <c r="AL111" s="6"/>
      <c r="AM111" s="6"/>
      <c r="AN111" s="6"/>
      <c r="AO111" s="6">
        <v>5</v>
      </c>
      <c r="AP111" s="6"/>
      <c r="AQ111" s="6"/>
      <c r="AR111" s="6"/>
      <c r="AS111" s="6"/>
      <c r="AT111" s="6"/>
      <c r="AU111" s="6"/>
      <c r="AV111" s="6"/>
      <c r="AW111" s="6"/>
      <c r="AX111" s="6"/>
      <c r="AY111" s="11">
        <f t="shared" si="4"/>
        <v>5</v>
      </c>
      <c r="AZ111" s="41" t="s">
        <v>27</v>
      </c>
      <c r="BA111" s="6"/>
    </row>
    <row r="112" spans="1:53" s="4" customFormat="1" ht="11.25">
      <c r="A112" s="3" t="s">
        <v>171</v>
      </c>
      <c r="B112" s="4" t="s">
        <v>65</v>
      </c>
      <c r="C112" s="1" t="s">
        <v>297</v>
      </c>
      <c r="D112" s="6"/>
      <c r="E112" s="5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7"/>
      <c r="W112" s="6"/>
      <c r="X112" s="6"/>
      <c r="Y112" s="6"/>
      <c r="Z112" s="6"/>
      <c r="AA112" s="6"/>
      <c r="AB112" s="6"/>
      <c r="AC112" s="6"/>
      <c r="AD112" s="6"/>
      <c r="AE112" s="6"/>
      <c r="AF112" s="5"/>
      <c r="AG112" s="6"/>
      <c r="AH112" s="6"/>
      <c r="AI112" s="6"/>
      <c r="AJ112" s="6"/>
      <c r="AK112" s="6"/>
      <c r="AL112" s="6"/>
      <c r="AM112" s="6"/>
      <c r="AN112" s="6"/>
      <c r="AO112" s="6">
        <v>100</v>
      </c>
      <c r="AP112" s="6"/>
      <c r="AQ112" s="6"/>
      <c r="AR112" s="6"/>
      <c r="AS112" s="6"/>
      <c r="AT112" s="6"/>
      <c r="AU112" s="6"/>
      <c r="AV112" s="6"/>
      <c r="AW112" s="6"/>
      <c r="AX112" s="6"/>
      <c r="AY112" s="11">
        <f t="shared" si="4"/>
        <v>100</v>
      </c>
      <c r="AZ112" s="41" t="s">
        <v>27</v>
      </c>
      <c r="BA112" s="6"/>
    </row>
    <row r="113" spans="1:53" s="4" customFormat="1" ht="11.25">
      <c r="A113" s="3" t="s">
        <v>172</v>
      </c>
      <c r="B113" s="4" t="s">
        <v>65</v>
      </c>
      <c r="C113" s="1" t="s">
        <v>299</v>
      </c>
      <c r="D113" s="6"/>
      <c r="E113" s="5"/>
      <c r="F113" s="6"/>
      <c r="G113" s="6"/>
      <c r="H113" s="6"/>
      <c r="I113" s="6"/>
      <c r="J113" s="6">
        <v>100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7"/>
      <c r="W113" s="6"/>
      <c r="X113" s="6"/>
      <c r="Y113" s="6"/>
      <c r="Z113" s="6"/>
      <c r="AA113" s="6"/>
      <c r="AB113" s="6"/>
      <c r="AC113" s="6"/>
      <c r="AD113" s="6"/>
      <c r="AE113" s="6"/>
      <c r="AF113" s="5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11">
        <f t="shared" si="4"/>
        <v>100</v>
      </c>
      <c r="AZ113" s="41" t="s">
        <v>27</v>
      </c>
      <c r="BA113" s="6"/>
    </row>
    <row r="114" spans="1:53" s="4" customFormat="1" ht="11.25">
      <c r="A114" s="3" t="s">
        <v>173</v>
      </c>
      <c r="B114" s="4" t="s">
        <v>65</v>
      </c>
      <c r="C114" s="1" t="s">
        <v>125</v>
      </c>
      <c r="D114" s="6">
        <v>3</v>
      </c>
      <c r="E114" s="5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7"/>
      <c r="W114" s="6"/>
      <c r="X114" s="6"/>
      <c r="Y114" s="6"/>
      <c r="Z114" s="6"/>
      <c r="AA114" s="6"/>
      <c r="AB114" s="6"/>
      <c r="AC114" s="6"/>
      <c r="AD114" s="6"/>
      <c r="AE114" s="6"/>
      <c r="AF114" s="5"/>
      <c r="AG114" s="6"/>
      <c r="AH114" s="6"/>
      <c r="AI114" s="6"/>
      <c r="AJ114" s="6"/>
      <c r="AK114" s="6"/>
      <c r="AL114" s="6"/>
      <c r="AM114" s="6"/>
      <c r="AN114" s="6"/>
      <c r="AO114" s="6"/>
      <c r="AP114" s="6">
        <v>5</v>
      </c>
      <c r="AQ114" s="6"/>
      <c r="AR114" s="6"/>
      <c r="AS114" s="6"/>
      <c r="AT114" s="6"/>
      <c r="AU114" s="6"/>
      <c r="AV114" s="6"/>
      <c r="AW114" s="6"/>
      <c r="AX114" s="6"/>
      <c r="AY114" s="11">
        <f t="shared" si="4"/>
        <v>8</v>
      </c>
      <c r="AZ114" s="41" t="s">
        <v>27</v>
      </c>
      <c r="BA114" s="6"/>
    </row>
    <row r="115" spans="1:53" s="4" customFormat="1" ht="11.25">
      <c r="A115" s="3" t="s">
        <v>174</v>
      </c>
      <c r="B115" s="4" t="s">
        <v>65</v>
      </c>
      <c r="C115" s="1" t="s">
        <v>124</v>
      </c>
      <c r="D115" s="6"/>
      <c r="E115" s="5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7"/>
      <c r="W115" s="6"/>
      <c r="X115" s="6"/>
      <c r="Y115" s="6"/>
      <c r="Z115" s="6"/>
      <c r="AA115" s="6"/>
      <c r="AB115" s="6"/>
      <c r="AC115" s="6"/>
      <c r="AD115" s="6"/>
      <c r="AE115" s="6"/>
      <c r="AF115" s="5"/>
      <c r="AG115" s="6"/>
      <c r="AH115" s="6"/>
      <c r="AI115" s="6"/>
      <c r="AJ115" s="6"/>
      <c r="AK115" s="6"/>
      <c r="AL115" s="6"/>
      <c r="AM115" s="6"/>
      <c r="AN115" s="6"/>
      <c r="AO115" s="6"/>
      <c r="AP115" s="6">
        <v>5</v>
      </c>
      <c r="AQ115" s="6"/>
      <c r="AR115" s="6"/>
      <c r="AS115" s="6"/>
      <c r="AT115" s="6"/>
      <c r="AU115" s="6"/>
      <c r="AV115" s="6"/>
      <c r="AW115" s="6"/>
      <c r="AX115" s="6"/>
      <c r="AY115" s="11">
        <f t="shared" si="4"/>
        <v>5</v>
      </c>
      <c r="AZ115" s="41" t="s">
        <v>27</v>
      </c>
      <c r="BA115" s="6"/>
    </row>
    <row r="116" spans="1:53" s="4" customFormat="1" ht="11.25">
      <c r="A116" s="3" t="s">
        <v>175</v>
      </c>
      <c r="B116" s="4" t="s">
        <v>65</v>
      </c>
      <c r="C116" s="4" t="str">
        <f>"105X058 MM"</f>
        <v>105X058 MM</v>
      </c>
      <c r="D116" s="6"/>
      <c r="E116" s="5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U116" s="6"/>
      <c r="V116" s="7"/>
      <c r="W116" s="6"/>
      <c r="X116" s="6"/>
      <c r="Y116" s="6"/>
      <c r="Z116" s="6"/>
      <c r="AA116" s="6"/>
      <c r="AB116" s="6"/>
      <c r="AC116" s="6"/>
      <c r="AD116" s="6"/>
      <c r="AE116" s="6"/>
      <c r="AF116" s="5"/>
      <c r="AG116" s="6"/>
      <c r="AH116" s="6"/>
      <c r="AI116" s="6"/>
      <c r="AJ116" s="6">
        <v>20</v>
      </c>
      <c r="AK116" s="6">
        <v>20</v>
      </c>
      <c r="AL116" s="6">
        <v>20</v>
      </c>
      <c r="AM116" s="6">
        <v>20</v>
      </c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11">
        <f t="shared" si="4"/>
        <v>80</v>
      </c>
      <c r="AZ116" s="42" t="s">
        <v>18</v>
      </c>
      <c r="BA116" s="6"/>
    </row>
    <row r="117" spans="1:53" s="4" customFormat="1" ht="11.25" hidden="1">
      <c r="A117" s="3"/>
      <c r="B117" s="4" t="str">
        <f>"GOLYÓSTOLL (ÜGYFELES)"</f>
        <v>GOLYÓSTOLL (ÜGYFELES)</v>
      </c>
      <c r="D117" s="6"/>
      <c r="E117" s="5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7"/>
      <c r="W117" s="6"/>
      <c r="X117" s="6"/>
      <c r="Y117" s="6"/>
      <c r="Z117" s="6"/>
      <c r="AA117" s="6"/>
      <c r="AB117" s="6"/>
      <c r="AC117" s="6"/>
      <c r="AD117" s="6"/>
      <c r="AE117" s="6"/>
      <c r="AF117" s="5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11">
        <f t="shared" si="4"/>
        <v>0</v>
      </c>
      <c r="AZ117" s="42" t="s">
        <v>18</v>
      </c>
      <c r="BA117" s="6"/>
    </row>
    <row r="118" spans="1:53" s="4" customFormat="1" ht="11.25">
      <c r="A118" s="3" t="s">
        <v>176</v>
      </c>
      <c r="B118" s="4" t="s">
        <v>112</v>
      </c>
      <c r="C118" s="4" t="s">
        <v>25</v>
      </c>
      <c r="D118" s="6"/>
      <c r="E118" s="5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7"/>
      <c r="W118" s="6"/>
      <c r="X118" s="6"/>
      <c r="Y118" s="6"/>
      <c r="Z118" s="6"/>
      <c r="AA118" s="6"/>
      <c r="AB118" s="6"/>
      <c r="AC118" s="6"/>
      <c r="AD118" s="6"/>
      <c r="AE118" s="6"/>
      <c r="AF118" s="5"/>
      <c r="AG118" s="6"/>
      <c r="AH118" s="6"/>
      <c r="AI118" s="6"/>
      <c r="AJ118" s="6"/>
      <c r="AK118" s="6"/>
      <c r="AL118" s="6">
        <v>1</v>
      </c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>
        <v>2</v>
      </c>
      <c r="AX118" s="6"/>
      <c r="AY118" s="11">
        <f t="shared" si="4"/>
        <v>3</v>
      </c>
      <c r="AZ118" s="42" t="s">
        <v>19</v>
      </c>
      <c r="BA118" s="6"/>
    </row>
    <row r="119" spans="1:53" s="4" customFormat="1" ht="11.25" hidden="1">
      <c r="A119" s="3"/>
      <c r="B119" s="4" t="str">
        <f>"GOLYÓSTOLL (ZEBRA N5200)"</f>
        <v>GOLYÓSTOLL (ZEBRA N5200)</v>
      </c>
      <c r="D119" s="6"/>
      <c r="E119" s="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7"/>
      <c r="W119" s="6"/>
      <c r="X119" s="6"/>
      <c r="Y119" s="6"/>
      <c r="Z119" s="6"/>
      <c r="AA119" s="6"/>
      <c r="AB119" s="6"/>
      <c r="AC119" s="6"/>
      <c r="AD119" s="6"/>
      <c r="AE119" s="6"/>
      <c r="AF119" s="5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11">
        <f t="shared" si="4"/>
        <v>0</v>
      </c>
      <c r="AZ119" s="42" t="s">
        <v>19</v>
      </c>
      <c r="BA119" s="6"/>
    </row>
    <row r="120" spans="1:53" s="4" customFormat="1" ht="11.25" hidden="1">
      <c r="A120" s="3"/>
      <c r="B120" s="4" t="str">
        <f>"GOLYÓSTOLL (ZEBRA RUBBER 101)"</f>
        <v>GOLYÓSTOLL (ZEBRA RUBBER 101)</v>
      </c>
      <c r="D120" s="6"/>
      <c r="E120" s="5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7"/>
      <c r="W120" s="6"/>
      <c r="X120" s="6"/>
      <c r="Y120" s="6"/>
      <c r="Z120" s="6"/>
      <c r="AA120" s="6"/>
      <c r="AB120" s="6"/>
      <c r="AC120" s="6"/>
      <c r="AD120" s="6"/>
      <c r="AE120" s="6"/>
      <c r="AF120" s="5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11">
        <f t="shared" si="4"/>
        <v>0</v>
      </c>
      <c r="AZ120" s="42" t="s">
        <v>19</v>
      </c>
      <c r="BA120" s="6"/>
    </row>
    <row r="121" spans="1:53" s="4" customFormat="1" ht="11.25">
      <c r="A121" s="3" t="s">
        <v>177</v>
      </c>
      <c r="B121" s="4" t="s">
        <v>20</v>
      </c>
      <c r="C121" s="4" t="str">
        <f>"A/4 (80 GRAMM)"</f>
        <v>A/4 (80 GRAMM)</v>
      </c>
      <c r="D121" s="6">
        <v>15</v>
      </c>
      <c r="E121" s="5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>
        <v>5</v>
      </c>
      <c r="U121" s="6">
        <v>2</v>
      </c>
      <c r="V121" s="7"/>
      <c r="W121" s="6"/>
      <c r="X121" s="6"/>
      <c r="Y121" s="6"/>
      <c r="Z121" s="6"/>
      <c r="AA121" s="6"/>
      <c r="AB121" s="6"/>
      <c r="AC121" s="6"/>
      <c r="AD121" s="6"/>
      <c r="AE121" s="6"/>
      <c r="AF121" s="5"/>
      <c r="AG121" s="6"/>
      <c r="AH121" s="6"/>
      <c r="AI121" s="6"/>
      <c r="AJ121" s="6">
        <v>30</v>
      </c>
      <c r="AK121" s="6">
        <v>30</v>
      </c>
      <c r="AL121" s="6">
        <v>30</v>
      </c>
      <c r="AM121" s="6">
        <v>30</v>
      </c>
      <c r="AN121" s="6">
        <v>2</v>
      </c>
      <c r="AO121" s="6">
        <v>20</v>
      </c>
      <c r="AP121" s="6">
        <v>20</v>
      </c>
      <c r="AQ121" s="6"/>
      <c r="AR121" s="6"/>
      <c r="AS121" s="6"/>
      <c r="AT121" s="6">
        <v>10</v>
      </c>
      <c r="AU121" s="6">
        <v>10</v>
      </c>
      <c r="AV121" s="6"/>
      <c r="AW121" s="6">
        <v>20</v>
      </c>
      <c r="AX121" s="6">
        <v>100</v>
      </c>
      <c r="AY121" s="11">
        <f t="shared" si="4"/>
        <v>324</v>
      </c>
      <c r="AZ121" s="42" t="s">
        <v>19</v>
      </c>
      <c r="BA121" s="6"/>
    </row>
    <row r="122" spans="1:53" s="4" customFormat="1" ht="11.25" hidden="1">
      <c r="A122" s="3"/>
      <c r="B122" s="4" t="str">
        <f aca="true" t="shared" si="5" ref="B122:B127">"GOLYÓSTOLL BETÉT"</f>
        <v>GOLYÓSTOLL BETÉT</v>
      </c>
      <c r="C122" s="4" t="str">
        <f>"4 SZÍNŰ (MINI)"</f>
        <v>4 SZÍNŰ (MINI)</v>
      </c>
      <c r="D122" s="6"/>
      <c r="E122" s="5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7"/>
      <c r="W122" s="6"/>
      <c r="X122" s="6"/>
      <c r="Y122" s="6"/>
      <c r="Z122" s="6"/>
      <c r="AA122" s="6"/>
      <c r="AB122" s="6"/>
      <c r="AC122" s="6"/>
      <c r="AD122" s="6"/>
      <c r="AE122" s="6"/>
      <c r="AF122" s="5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11">
        <f t="shared" si="4"/>
        <v>0</v>
      </c>
      <c r="AZ122" s="42" t="s">
        <v>18</v>
      </c>
      <c r="BA122" s="6"/>
    </row>
    <row r="123" spans="1:53" s="4" customFormat="1" ht="11.25" hidden="1">
      <c r="A123" s="3"/>
      <c r="B123" s="4" t="str">
        <f t="shared" si="5"/>
        <v>GOLYÓSTOLL BETÉT</v>
      </c>
      <c r="C123" s="4" t="str">
        <f>"HANDY"</f>
        <v>HANDY</v>
      </c>
      <c r="D123" s="6"/>
      <c r="E123" s="5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7"/>
      <c r="W123" s="6"/>
      <c r="X123" s="6"/>
      <c r="Y123" s="6"/>
      <c r="Z123" s="6"/>
      <c r="AA123" s="6"/>
      <c r="AB123" s="6"/>
      <c r="AC123" s="6"/>
      <c r="AD123" s="6"/>
      <c r="AE123" s="6"/>
      <c r="AF123" s="5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11">
        <f t="shared" si="4"/>
        <v>0</v>
      </c>
      <c r="AZ123" s="42" t="s">
        <v>18</v>
      </c>
      <c r="BA123" s="6"/>
    </row>
    <row r="124" spans="1:53" s="4" customFormat="1" ht="11.25" hidden="1">
      <c r="A124" s="3"/>
      <c r="B124" s="4" t="str">
        <f t="shared" si="5"/>
        <v>GOLYÓSTOLL BETÉT</v>
      </c>
      <c r="C124" s="4" t="str">
        <f>"PARKER"</f>
        <v>PARKER</v>
      </c>
      <c r="D124" s="6"/>
      <c r="E124" s="5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7"/>
      <c r="W124" s="6"/>
      <c r="X124" s="6"/>
      <c r="Y124" s="6"/>
      <c r="Z124" s="6"/>
      <c r="AA124" s="6"/>
      <c r="AB124" s="6"/>
      <c r="AC124" s="6"/>
      <c r="AD124" s="6"/>
      <c r="AE124" s="6"/>
      <c r="AF124" s="5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11">
        <f t="shared" si="4"/>
        <v>0</v>
      </c>
      <c r="AZ124" s="42" t="s">
        <v>18</v>
      </c>
      <c r="BA124" s="6"/>
    </row>
    <row r="125" spans="1:53" s="4" customFormat="1" ht="11.25" hidden="1">
      <c r="A125" s="3"/>
      <c r="B125" s="4" t="str">
        <f t="shared" si="5"/>
        <v>GOLYÓSTOLL BETÉT</v>
      </c>
      <c r="C125" s="4" t="str">
        <f>"PAX"</f>
        <v>PAX</v>
      </c>
      <c r="D125" s="6"/>
      <c r="E125" s="5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7"/>
      <c r="W125" s="6"/>
      <c r="X125" s="6"/>
      <c r="Y125" s="6"/>
      <c r="Z125" s="6"/>
      <c r="AA125" s="6"/>
      <c r="AB125" s="6"/>
      <c r="AC125" s="6"/>
      <c r="AD125" s="6"/>
      <c r="AE125" s="6"/>
      <c r="AF125" s="5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11">
        <f t="shared" si="4"/>
        <v>0</v>
      </c>
      <c r="AZ125" s="42" t="s">
        <v>18</v>
      </c>
      <c r="BA125" s="6"/>
    </row>
    <row r="126" spans="1:53" s="4" customFormat="1" ht="11.25" hidden="1">
      <c r="A126" s="3"/>
      <c r="B126" s="4" t="str">
        <f t="shared" si="5"/>
        <v>GOLYÓSTOLL BETÉT</v>
      </c>
      <c r="C126" s="4" t="str">
        <f>"PENAC (RB 98C 07)"</f>
        <v>PENAC (RB 98C 07)</v>
      </c>
      <c r="D126" s="6"/>
      <c r="E126" s="5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7"/>
      <c r="W126" s="6"/>
      <c r="X126" s="6"/>
      <c r="Y126" s="6"/>
      <c r="Z126" s="6"/>
      <c r="AA126" s="6"/>
      <c r="AB126" s="6"/>
      <c r="AC126" s="6"/>
      <c r="AD126" s="6"/>
      <c r="AE126" s="6"/>
      <c r="AF126" s="5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11">
        <f t="shared" si="4"/>
        <v>0</v>
      </c>
      <c r="AZ126" s="42" t="s">
        <v>18</v>
      </c>
      <c r="BA126" s="6"/>
    </row>
    <row r="127" spans="1:53" s="4" customFormat="1" ht="11.25" hidden="1">
      <c r="A127" s="3"/>
      <c r="B127" s="4" t="str">
        <f t="shared" si="5"/>
        <v>GOLYÓSTOLL BETÉT</v>
      </c>
      <c r="C127" s="4" t="str">
        <f>"PILOT"</f>
        <v>PILOT</v>
      </c>
      <c r="D127" s="6"/>
      <c r="E127" s="5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7"/>
      <c r="W127" s="6"/>
      <c r="X127" s="6"/>
      <c r="Y127" s="6"/>
      <c r="Z127" s="6"/>
      <c r="AA127" s="6"/>
      <c r="AB127" s="6"/>
      <c r="AC127" s="6"/>
      <c r="AD127" s="6"/>
      <c r="AE127" s="6"/>
      <c r="AF127" s="5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11">
        <f t="shared" si="4"/>
        <v>0</v>
      </c>
      <c r="AZ127" s="42" t="s">
        <v>18</v>
      </c>
      <c r="BA127" s="6"/>
    </row>
    <row r="128" spans="1:53" s="2" customFormat="1" ht="11.25">
      <c r="A128" s="3" t="s">
        <v>178</v>
      </c>
      <c r="B128" s="4" t="s">
        <v>69</v>
      </c>
      <c r="C128" s="4" t="s">
        <v>25</v>
      </c>
      <c r="D128" s="6">
        <v>2</v>
      </c>
      <c r="E128" s="5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7"/>
      <c r="W128" s="6"/>
      <c r="X128" s="6"/>
      <c r="Y128" s="6"/>
      <c r="Z128" s="6"/>
      <c r="AA128" s="6"/>
      <c r="AB128" s="6"/>
      <c r="AC128" s="6"/>
      <c r="AD128" s="6"/>
      <c r="AE128" s="6"/>
      <c r="AF128" s="5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11">
        <f t="shared" si="4"/>
        <v>2</v>
      </c>
      <c r="AZ128" s="42" t="s">
        <v>18</v>
      </c>
      <c r="BA128" s="11"/>
    </row>
    <row r="129" spans="1:55" s="4" customFormat="1" ht="11.25" hidden="1">
      <c r="A129" s="3"/>
      <c r="B129" s="4" t="str">
        <f>"GOLYÓSTOLL BETÉT"</f>
        <v>GOLYÓSTOLL BETÉT</v>
      </c>
      <c r="C129" s="4" t="str">
        <f>"RÉZ"</f>
        <v>RÉZ</v>
      </c>
      <c r="D129" s="6"/>
      <c r="E129" s="5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7"/>
      <c r="W129" s="6"/>
      <c r="X129" s="6"/>
      <c r="Y129" s="6"/>
      <c r="Z129" s="6"/>
      <c r="AA129" s="6"/>
      <c r="AB129" s="6"/>
      <c r="AC129" s="6"/>
      <c r="AD129" s="6"/>
      <c r="AE129" s="6"/>
      <c r="AF129" s="5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11">
        <f t="shared" si="4"/>
        <v>0</v>
      </c>
      <c r="AZ129" s="42" t="s">
        <v>18</v>
      </c>
      <c r="BA129" s="6"/>
      <c r="BC129" s="2"/>
    </row>
    <row r="130" spans="1:55" s="2" customFormat="1" ht="11.25" hidden="1">
      <c r="A130" s="3"/>
      <c r="B130" s="4" t="str">
        <f>"GOLYÓSTOLL BETÉT"</f>
        <v>GOLYÓSTOLL BETÉT</v>
      </c>
      <c r="C130" s="4" t="str">
        <f>"X-20"</f>
        <v>X-20</v>
      </c>
      <c r="D130" s="6"/>
      <c r="E130" s="5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7"/>
      <c r="W130" s="6"/>
      <c r="X130" s="6"/>
      <c r="Y130" s="6"/>
      <c r="Z130" s="6"/>
      <c r="AA130" s="6"/>
      <c r="AB130" s="6"/>
      <c r="AC130" s="6"/>
      <c r="AD130" s="6"/>
      <c r="AE130" s="6"/>
      <c r="AF130" s="5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11">
        <f t="shared" si="4"/>
        <v>0</v>
      </c>
      <c r="AZ130" s="42" t="s">
        <v>18</v>
      </c>
      <c r="BA130" s="11"/>
      <c r="BC130" s="4"/>
    </row>
    <row r="131" spans="1:53" s="2" customFormat="1" ht="11.25">
      <c r="A131" s="3" t="s">
        <v>179</v>
      </c>
      <c r="B131" s="4" t="s">
        <v>75</v>
      </c>
      <c r="C131" s="4" t="s">
        <v>25</v>
      </c>
      <c r="D131" s="6"/>
      <c r="E131" s="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7"/>
      <c r="W131" s="6"/>
      <c r="X131" s="6"/>
      <c r="Y131" s="6"/>
      <c r="Z131" s="6"/>
      <c r="AA131" s="6"/>
      <c r="AB131" s="6"/>
      <c r="AC131" s="6"/>
      <c r="AD131" s="6"/>
      <c r="AE131" s="6"/>
      <c r="AF131" s="5"/>
      <c r="AG131" s="6"/>
      <c r="AH131" s="6"/>
      <c r="AI131" s="6"/>
      <c r="AJ131" s="6"/>
      <c r="AK131" s="6"/>
      <c r="AL131" s="6"/>
      <c r="AM131" s="6"/>
      <c r="AN131" s="6">
        <v>2</v>
      </c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11">
        <f t="shared" si="4"/>
        <v>2</v>
      </c>
      <c r="AZ131" s="42" t="s">
        <v>18</v>
      </c>
      <c r="BA131" s="11"/>
    </row>
    <row r="132" spans="1:53" s="4" customFormat="1" ht="11.25" hidden="1">
      <c r="A132" s="3"/>
      <c r="B132" s="4" t="str">
        <f>"GOLYÓSTOLL BETÉT (ZSELÉS)"</f>
        <v>GOLYÓSTOLL BETÉT (ZSELÉS)</v>
      </c>
      <c r="C132" s="4" t="str">
        <f>"PARKER"</f>
        <v>PARKER</v>
      </c>
      <c r="D132" s="6"/>
      <c r="E132" s="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7"/>
      <c r="W132" s="6"/>
      <c r="X132" s="6"/>
      <c r="Y132" s="6"/>
      <c r="Z132" s="6"/>
      <c r="AA132" s="6"/>
      <c r="AB132" s="6"/>
      <c r="AC132" s="6"/>
      <c r="AD132" s="6"/>
      <c r="AE132" s="6"/>
      <c r="AF132" s="5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11">
        <f t="shared" si="4"/>
        <v>0</v>
      </c>
      <c r="AZ132" s="42" t="s">
        <v>18</v>
      </c>
      <c r="BA132" s="6"/>
    </row>
    <row r="133" spans="1:53" s="4" customFormat="1" ht="11.25" hidden="1">
      <c r="A133" s="3"/>
      <c r="B133" s="4" t="str">
        <f>"GYORS MASNI"</f>
        <v>GYORS MASNI</v>
      </c>
      <c r="D133" s="6"/>
      <c r="E133" s="5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7"/>
      <c r="W133" s="6"/>
      <c r="X133" s="6"/>
      <c r="Y133" s="6"/>
      <c r="Z133" s="6"/>
      <c r="AA133" s="6"/>
      <c r="AB133" s="6"/>
      <c r="AC133" s="6"/>
      <c r="AD133" s="6"/>
      <c r="AE133" s="6"/>
      <c r="AF133" s="5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11">
        <f t="shared" si="4"/>
        <v>0</v>
      </c>
      <c r="AZ133" s="42" t="s">
        <v>18</v>
      </c>
      <c r="BA133" s="6"/>
    </row>
    <row r="134" spans="1:53" s="4" customFormat="1" ht="11.25">
      <c r="A134" s="3" t="s">
        <v>180</v>
      </c>
      <c r="B134" s="4" t="str">
        <f>"FÜZET (KOCKÁS)"</f>
        <v>FÜZET (KOCKÁS)</v>
      </c>
      <c r="C134" s="4" t="s">
        <v>277</v>
      </c>
      <c r="D134" s="6"/>
      <c r="E134" s="5"/>
      <c r="F134" s="6"/>
      <c r="G134" s="6">
        <v>10</v>
      </c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7"/>
      <c r="W134" s="6"/>
      <c r="X134" s="6"/>
      <c r="Y134" s="6"/>
      <c r="Z134" s="6"/>
      <c r="AA134" s="6"/>
      <c r="AB134" s="6"/>
      <c r="AC134" s="6"/>
      <c r="AD134" s="6"/>
      <c r="AE134" s="6"/>
      <c r="AF134" s="5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11">
        <f t="shared" si="4"/>
        <v>10</v>
      </c>
      <c r="AZ134" s="42" t="s">
        <v>18</v>
      </c>
      <c r="BA134" s="6"/>
    </row>
    <row r="135" spans="1:53" s="4" customFormat="1" ht="11.25">
      <c r="A135" s="3" t="s">
        <v>181</v>
      </c>
      <c r="B135" s="4" t="s">
        <v>26</v>
      </c>
      <c r="C135" s="4" t="str">
        <f>"A/4"</f>
        <v>A/4</v>
      </c>
      <c r="D135" s="6">
        <v>10</v>
      </c>
      <c r="E135" s="5"/>
      <c r="F135" s="6"/>
      <c r="G135" s="6">
        <v>10</v>
      </c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7"/>
      <c r="W135" s="6"/>
      <c r="X135" s="6"/>
      <c r="Y135" s="6"/>
      <c r="Z135" s="6"/>
      <c r="AA135" s="6"/>
      <c r="AB135" s="6"/>
      <c r="AC135" s="6"/>
      <c r="AD135" s="6"/>
      <c r="AE135" s="6"/>
      <c r="AF135" s="5"/>
      <c r="AG135" s="6"/>
      <c r="AH135" s="6"/>
      <c r="AI135" s="6"/>
      <c r="AJ135" s="6"/>
      <c r="AK135" s="6"/>
      <c r="AL135" s="6"/>
      <c r="AM135" s="6"/>
      <c r="AN135" s="6"/>
      <c r="AO135" s="6">
        <v>2</v>
      </c>
      <c r="AP135" s="6">
        <v>2</v>
      </c>
      <c r="AQ135" s="6"/>
      <c r="AR135" s="6"/>
      <c r="AS135" s="6"/>
      <c r="AT135" s="6"/>
      <c r="AU135" s="6"/>
      <c r="AV135" s="6"/>
      <c r="AW135" s="6"/>
      <c r="AX135" s="6"/>
      <c r="AY135" s="11">
        <f t="shared" si="4"/>
        <v>24</v>
      </c>
      <c r="AZ135" s="42" t="s">
        <v>18</v>
      </c>
      <c r="BA135" s="6"/>
    </row>
    <row r="136" spans="1:53" s="2" customFormat="1" ht="11.25">
      <c r="A136" s="3" t="s">
        <v>182</v>
      </c>
      <c r="B136" s="4" t="s">
        <v>266</v>
      </c>
      <c r="C136" s="4" t="str">
        <f>"A/4"</f>
        <v>A/4</v>
      </c>
      <c r="D136" s="6"/>
      <c r="E136" s="5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7"/>
      <c r="W136" s="6"/>
      <c r="X136" s="6"/>
      <c r="Y136" s="6"/>
      <c r="Z136" s="6"/>
      <c r="AA136" s="6"/>
      <c r="AB136" s="6"/>
      <c r="AC136" s="6"/>
      <c r="AD136" s="6"/>
      <c r="AE136" s="6"/>
      <c r="AF136" s="5"/>
      <c r="AG136" s="6"/>
      <c r="AH136" s="6"/>
      <c r="AI136" s="6"/>
      <c r="AJ136" s="6"/>
      <c r="AK136" s="6"/>
      <c r="AL136" s="6"/>
      <c r="AM136" s="6"/>
      <c r="AN136" s="6"/>
      <c r="AO136" s="6">
        <v>2</v>
      </c>
      <c r="AP136" s="6">
        <v>2</v>
      </c>
      <c r="AQ136" s="6"/>
      <c r="AR136" s="6"/>
      <c r="AS136" s="6"/>
      <c r="AT136" s="6"/>
      <c r="AU136" s="6"/>
      <c r="AV136" s="6"/>
      <c r="AW136" s="6"/>
      <c r="AX136" s="6"/>
      <c r="AY136" s="11">
        <f t="shared" si="4"/>
        <v>4</v>
      </c>
      <c r="AZ136" s="42" t="s">
        <v>18</v>
      </c>
      <c r="BA136" s="11"/>
    </row>
    <row r="137" spans="1:55" s="4" customFormat="1" ht="11.25" hidden="1">
      <c r="A137" s="3"/>
      <c r="B137" s="4" t="str">
        <f>"GYURMA"</f>
        <v>GYURMA</v>
      </c>
      <c r="D137" s="6"/>
      <c r="E137" s="5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7"/>
      <c r="W137" s="6"/>
      <c r="X137" s="6"/>
      <c r="Y137" s="6"/>
      <c r="Z137" s="6"/>
      <c r="AA137" s="6"/>
      <c r="AB137" s="6"/>
      <c r="AC137" s="6"/>
      <c r="AD137" s="6"/>
      <c r="AE137" s="6"/>
      <c r="AF137" s="5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11">
        <f t="shared" si="4"/>
        <v>0</v>
      </c>
      <c r="AZ137" s="42" t="s">
        <v>18</v>
      </c>
      <c r="BA137" s="6"/>
      <c r="BC137" s="2"/>
    </row>
    <row r="138" spans="1:55" s="2" customFormat="1" ht="11.25" hidden="1">
      <c r="A138" s="3"/>
      <c r="B138" s="4" t="str">
        <f>"GYŰRŰSKÖNYV"</f>
        <v>GYŰRŰSKÖNYV</v>
      </c>
      <c r="C138" s="4" t="str">
        <f>"A/5"</f>
        <v>A/5</v>
      </c>
      <c r="D138" s="6"/>
      <c r="E138" s="5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7"/>
      <c r="W138" s="6"/>
      <c r="X138" s="6"/>
      <c r="Y138" s="6"/>
      <c r="Z138" s="6"/>
      <c r="AA138" s="6"/>
      <c r="AB138" s="6"/>
      <c r="AC138" s="6"/>
      <c r="AD138" s="6"/>
      <c r="AE138" s="6"/>
      <c r="AF138" s="5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11">
        <f t="shared" si="4"/>
        <v>0</v>
      </c>
      <c r="AZ138" s="42" t="s">
        <v>18</v>
      </c>
      <c r="BA138" s="11"/>
      <c r="BC138" s="4"/>
    </row>
    <row r="139" spans="1:53" s="4" customFormat="1" ht="11.25" hidden="1">
      <c r="A139" s="3"/>
      <c r="B139" s="4" t="str">
        <f>"HATÁRIDŐNAPLÓ A/5"</f>
        <v>HATÁRIDŐNAPLÓ A/5</v>
      </c>
      <c r="C139" s="4" t="str">
        <f>"3101"</f>
        <v>3101</v>
      </c>
      <c r="D139" s="6"/>
      <c r="E139" s="5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7"/>
      <c r="W139" s="6"/>
      <c r="X139" s="6"/>
      <c r="Y139" s="6"/>
      <c r="Z139" s="6"/>
      <c r="AA139" s="6"/>
      <c r="AB139" s="6"/>
      <c r="AC139" s="6"/>
      <c r="AD139" s="6"/>
      <c r="AE139" s="6"/>
      <c r="AF139" s="5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11">
        <f t="shared" si="4"/>
        <v>0</v>
      </c>
      <c r="AZ139" s="42" t="s">
        <v>18</v>
      </c>
      <c r="BA139" s="6"/>
    </row>
    <row r="140" spans="1:53" s="4" customFormat="1" ht="11.25" hidden="1">
      <c r="A140" s="3"/>
      <c r="B140" s="4" t="str">
        <f>"HATÁROZATOK KÖNYVE"</f>
        <v>HATÁROZATOK KÖNYVE</v>
      </c>
      <c r="D140" s="6"/>
      <c r="E140" s="5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7"/>
      <c r="W140" s="6"/>
      <c r="X140" s="6"/>
      <c r="Y140" s="6"/>
      <c r="Z140" s="6"/>
      <c r="AA140" s="6"/>
      <c r="AB140" s="6"/>
      <c r="AC140" s="6"/>
      <c r="AD140" s="6"/>
      <c r="AE140" s="6"/>
      <c r="AF140" s="5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11">
        <f t="shared" si="4"/>
        <v>0</v>
      </c>
      <c r="AZ140" s="42" t="s">
        <v>18</v>
      </c>
      <c r="BA140" s="6"/>
    </row>
    <row r="141" spans="1:53" s="4" customFormat="1" ht="11.25" hidden="1">
      <c r="A141" s="3"/>
      <c r="B141" s="4" t="str">
        <f>"HÁTLAP (BŐRHATÁSÚ)"</f>
        <v>HÁTLAP (BŐRHATÁSÚ)</v>
      </c>
      <c r="C141" s="4" t="s">
        <v>34</v>
      </c>
      <c r="D141" s="6"/>
      <c r="E141" s="5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7"/>
      <c r="W141" s="6"/>
      <c r="X141" s="6"/>
      <c r="Y141" s="6"/>
      <c r="Z141" s="6"/>
      <c r="AA141" s="6"/>
      <c r="AB141" s="6"/>
      <c r="AC141" s="6"/>
      <c r="AD141" s="6"/>
      <c r="AE141" s="6"/>
      <c r="AF141" s="5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11">
        <f t="shared" si="4"/>
        <v>0</v>
      </c>
      <c r="AZ141" s="42" t="s">
        <v>18</v>
      </c>
      <c r="BA141" s="6"/>
    </row>
    <row r="142" spans="1:53" s="4" customFormat="1" ht="11.25" hidden="1">
      <c r="A142" s="3"/>
      <c r="B142" s="4" t="str">
        <f>"HIBAJAVÍTÓ FESTÉK (ECSETES)"</f>
        <v>HIBAJAVÍTÓ FESTÉK (ECSETES)</v>
      </c>
      <c r="C142" s="4" t="str">
        <f>"KORES"</f>
        <v>KORES</v>
      </c>
      <c r="D142" s="6"/>
      <c r="E142" s="5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7"/>
      <c r="W142" s="6"/>
      <c r="X142" s="6"/>
      <c r="Y142" s="6"/>
      <c r="Z142" s="6"/>
      <c r="AA142" s="6"/>
      <c r="AB142" s="6"/>
      <c r="AC142" s="6"/>
      <c r="AD142" s="6"/>
      <c r="AE142" s="6"/>
      <c r="AF142" s="5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11">
        <f aca="true" t="shared" si="6" ref="AY142:AY191">SUM(D142:AX142)</f>
        <v>0</v>
      </c>
      <c r="AZ142" s="42" t="s">
        <v>18</v>
      </c>
      <c r="BA142" s="6"/>
    </row>
    <row r="143" spans="1:53" s="4" customFormat="1" ht="11.25" hidden="1">
      <c r="A143" s="3"/>
      <c r="B143" s="4" t="str">
        <f>"HIBAJAVÍTÓ FESTÉKHÍGÍTÓ"</f>
        <v>HIBAJAVÍTÓ FESTÉKHÍGÍTÓ</v>
      </c>
      <c r="D143" s="6"/>
      <c r="E143" s="5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7"/>
      <c r="W143" s="6"/>
      <c r="X143" s="6"/>
      <c r="Y143" s="6"/>
      <c r="Z143" s="6"/>
      <c r="AA143" s="6"/>
      <c r="AB143" s="6"/>
      <c r="AC143" s="6"/>
      <c r="AD143" s="6"/>
      <c r="AE143" s="6"/>
      <c r="AF143" s="5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11">
        <f t="shared" si="6"/>
        <v>0</v>
      </c>
      <c r="AZ143" s="42" t="s">
        <v>18</v>
      </c>
      <c r="BA143" s="6"/>
    </row>
    <row r="144" spans="1:53" s="2" customFormat="1" ht="11.25">
      <c r="A144" s="3" t="s">
        <v>183</v>
      </c>
      <c r="B144" s="4" t="s">
        <v>82</v>
      </c>
      <c r="C144" s="4" t="s">
        <v>25</v>
      </c>
      <c r="D144" s="6"/>
      <c r="E144" s="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7"/>
      <c r="W144" s="6"/>
      <c r="X144" s="6"/>
      <c r="Y144" s="6"/>
      <c r="Z144" s="6"/>
      <c r="AA144" s="6"/>
      <c r="AB144" s="6"/>
      <c r="AC144" s="6"/>
      <c r="AD144" s="6"/>
      <c r="AE144" s="6"/>
      <c r="AF144" s="5"/>
      <c r="AG144" s="6"/>
      <c r="AH144" s="6"/>
      <c r="AI144" s="6"/>
      <c r="AJ144" s="6"/>
      <c r="AK144" s="6"/>
      <c r="AL144" s="6"/>
      <c r="AM144" s="6"/>
      <c r="AN144" s="6"/>
      <c r="AO144" s="6">
        <v>2</v>
      </c>
      <c r="AP144" s="6">
        <v>2</v>
      </c>
      <c r="AQ144" s="6"/>
      <c r="AR144" s="6"/>
      <c r="AS144" s="6"/>
      <c r="AT144" s="6"/>
      <c r="AU144" s="6"/>
      <c r="AV144" s="6"/>
      <c r="AW144" s="6"/>
      <c r="AX144" s="6"/>
      <c r="AY144" s="11">
        <f t="shared" si="6"/>
        <v>4</v>
      </c>
      <c r="AZ144" s="42" t="s">
        <v>23</v>
      </c>
      <c r="BA144" s="11"/>
    </row>
    <row r="145" spans="1:53" s="4" customFormat="1" ht="11.25" hidden="1">
      <c r="A145" s="3"/>
      <c r="B145" s="4" t="str">
        <f>"HIBAJAVÍTÓ TOLL (STRANGER)"</f>
        <v>HIBAJAVÍTÓ TOLL (STRANGER)</v>
      </c>
      <c r="D145" s="6"/>
      <c r="E145" s="5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7"/>
      <c r="W145" s="6"/>
      <c r="X145" s="6"/>
      <c r="Y145" s="6"/>
      <c r="Z145" s="6"/>
      <c r="AA145" s="6"/>
      <c r="AB145" s="6"/>
      <c r="AC145" s="6"/>
      <c r="AD145" s="6"/>
      <c r="AE145" s="6"/>
      <c r="AF145" s="5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11">
        <f t="shared" si="6"/>
        <v>0</v>
      </c>
      <c r="AZ145" s="41"/>
      <c r="BA145" s="6"/>
    </row>
    <row r="146" spans="1:53" s="4" customFormat="1" ht="11.25" hidden="1">
      <c r="A146" s="3"/>
      <c r="B146" s="4" t="str">
        <f>"HULLADÉK ELHELYEZÉSI JEGY"</f>
        <v>HULLADÉK ELHELYEZÉSI JEGY</v>
      </c>
      <c r="C146" s="4" t="str">
        <f>"(TISZASZOLG)"</f>
        <v>(TISZASZOLG)</v>
      </c>
      <c r="D146" s="6"/>
      <c r="E146" s="5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7"/>
      <c r="W146" s="6"/>
      <c r="X146" s="6"/>
      <c r="Y146" s="6"/>
      <c r="Z146" s="6"/>
      <c r="AA146" s="6"/>
      <c r="AB146" s="6"/>
      <c r="AC146" s="6"/>
      <c r="AD146" s="6"/>
      <c r="AE146" s="6"/>
      <c r="AF146" s="5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1">
        <f t="shared" si="6"/>
        <v>0</v>
      </c>
      <c r="AZ146" s="41"/>
      <c r="BA146" s="6"/>
    </row>
    <row r="147" spans="1:53" s="4" customFormat="1" ht="11.25" hidden="1">
      <c r="A147" s="3"/>
      <c r="B147" s="4" t="str">
        <f>"IKTATÓKÖNYV (SOROS)"</f>
        <v>IKTATÓKÖNYV (SOROS)</v>
      </c>
      <c r="C147" s="4" t="str">
        <f>"C 5230-152"</f>
        <v>C 5230-152</v>
      </c>
      <c r="D147" s="6"/>
      <c r="E147" s="5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7"/>
      <c r="W147" s="6"/>
      <c r="X147" s="6"/>
      <c r="Y147" s="6"/>
      <c r="Z147" s="6"/>
      <c r="AA147" s="6"/>
      <c r="AB147" s="6"/>
      <c r="AC147" s="6"/>
      <c r="AD147" s="6"/>
      <c r="AE147" s="6"/>
      <c r="AF147" s="5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11">
        <f t="shared" si="6"/>
        <v>0</v>
      </c>
      <c r="AZ147" s="41"/>
      <c r="BA147" s="6"/>
    </row>
    <row r="148" spans="1:53" s="4" customFormat="1" ht="11.25">
      <c r="A148" s="3" t="s">
        <v>184</v>
      </c>
      <c r="B148" s="4" t="str">
        <f>"GÉMKAPOCS (NORMÁL)"</f>
        <v>GÉMKAPOCS (NORMÁL)</v>
      </c>
      <c r="C148" s="4" t="str">
        <f>"33MM"</f>
        <v>33MM</v>
      </c>
      <c r="D148" s="6">
        <v>3</v>
      </c>
      <c r="E148" s="5"/>
      <c r="F148" s="6"/>
      <c r="G148" s="6">
        <v>15</v>
      </c>
      <c r="H148" s="6"/>
      <c r="I148" s="6"/>
      <c r="J148" s="6">
        <v>10</v>
      </c>
      <c r="K148" s="6"/>
      <c r="L148" s="6">
        <v>8</v>
      </c>
      <c r="M148" s="6"/>
      <c r="N148" s="6">
        <v>1</v>
      </c>
      <c r="O148" s="6"/>
      <c r="P148" s="6"/>
      <c r="Q148" s="6"/>
      <c r="R148" s="6"/>
      <c r="S148" s="6"/>
      <c r="T148" s="6"/>
      <c r="U148" s="6"/>
      <c r="V148" s="7"/>
      <c r="W148" s="6"/>
      <c r="X148" s="6"/>
      <c r="Y148" s="6"/>
      <c r="Z148" s="6"/>
      <c r="AA148" s="6"/>
      <c r="AB148" s="6"/>
      <c r="AC148" s="6"/>
      <c r="AD148" s="6"/>
      <c r="AE148" s="6"/>
      <c r="AF148" s="5"/>
      <c r="AG148" s="6"/>
      <c r="AH148" s="6"/>
      <c r="AI148" s="6"/>
      <c r="AJ148" s="6"/>
      <c r="AK148" s="6"/>
      <c r="AL148" s="6"/>
      <c r="AM148" s="6"/>
      <c r="AN148" s="6"/>
      <c r="AO148" s="6">
        <v>10</v>
      </c>
      <c r="AP148" s="6">
        <v>10</v>
      </c>
      <c r="AQ148" s="6"/>
      <c r="AR148" s="6"/>
      <c r="AS148" s="6"/>
      <c r="AT148" s="6"/>
      <c r="AU148" s="6"/>
      <c r="AV148" s="6"/>
      <c r="AW148" s="6">
        <v>10</v>
      </c>
      <c r="AX148" s="6"/>
      <c r="AY148" s="11">
        <f t="shared" si="6"/>
        <v>67</v>
      </c>
      <c r="AZ148" s="42" t="s">
        <v>18</v>
      </c>
      <c r="BA148" s="6"/>
    </row>
    <row r="149" spans="1:53" s="18" customFormat="1" ht="11.25">
      <c r="A149" s="3" t="s">
        <v>185</v>
      </c>
      <c r="B149" s="4" t="s">
        <v>105</v>
      </c>
      <c r="C149" s="4" t="s">
        <v>106</v>
      </c>
      <c r="D149" s="8"/>
      <c r="E149" s="13"/>
      <c r="F149" s="8"/>
      <c r="G149" s="6"/>
      <c r="H149" s="8"/>
      <c r="I149" s="8"/>
      <c r="J149" s="6"/>
      <c r="K149" s="8"/>
      <c r="L149" s="6"/>
      <c r="M149" s="8"/>
      <c r="N149" s="8"/>
      <c r="O149" s="8"/>
      <c r="P149" s="6"/>
      <c r="Q149" s="8"/>
      <c r="R149" s="8"/>
      <c r="S149" s="8"/>
      <c r="T149" s="8"/>
      <c r="U149" s="6"/>
      <c r="V149" s="17"/>
      <c r="W149" s="8"/>
      <c r="X149" s="8"/>
      <c r="Y149" s="8"/>
      <c r="Z149" s="8"/>
      <c r="AA149" s="8"/>
      <c r="AB149" s="8"/>
      <c r="AC149" s="8"/>
      <c r="AD149" s="8"/>
      <c r="AE149" s="8"/>
      <c r="AF149" s="13"/>
      <c r="AG149" s="8"/>
      <c r="AH149" s="8"/>
      <c r="AI149" s="8"/>
      <c r="AJ149" s="6"/>
      <c r="AK149" s="8"/>
      <c r="AL149" s="6">
        <v>1</v>
      </c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11">
        <f t="shared" si="6"/>
        <v>1</v>
      </c>
      <c r="AZ149" s="42" t="s">
        <v>18</v>
      </c>
      <c r="BA149" s="8"/>
    </row>
    <row r="150" spans="1:55" s="4" customFormat="1" ht="11.25">
      <c r="A150" s="3" t="s">
        <v>186</v>
      </c>
      <c r="B150" s="4" t="s">
        <v>68</v>
      </c>
      <c r="C150" s="4" t="s">
        <v>292</v>
      </c>
      <c r="D150" s="6"/>
      <c r="F150" s="6"/>
      <c r="G150" s="6"/>
      <c r="H150" s="6"/>
      <c r="I150" s="6"/>
      <c r="J150" s="6">
        <v>200</v>
      </c>
      <c r="K150" s="6"/>
      <c r="L150" s="6">
        <v>100</v>
      </c>
      <c r="M150" s="6"/>
      <c r="N150" s="6">
        <v>100</v>
      </c>
      <c r="O150" s="6">
        <v>100</v>
      </c>
      <c r="P150" s="6"/>
      <c r="Q150" s="6">
        <v>100</v>
      </c>
      <c r="R150" s="6"/>
      <c r="S150" s="6"/>
      <c r="T150" s="6">
        <v>100</v>
      </c>
      <c r="U150" s="6"/>
      <c r="V150" s="7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>
        <v>300</v>
      </c>
      <c r="AK150" s="6">
        <v>300</v>
      </c>
      <c r="AL150" s="6">
        <v>300</v>
      </c>
      <c r="AM150" s="6">
        <v>300</v>
      </c>
      <c r="AN150" s="6">
        <v>50</v>
      </c>
      <c r="AO150" s="6">
        <v>100</v>
      </c>
      <c r="AP150" s="6">
        <v>100</v>
      </c>
      <c r="AQ150" s="6">
        <v>400</v>
      </c>
      <c r="AR150" s="6"/>
      <c r="AS150" s="6"/>
      <c r="AT150" s="6"/>
      <c r="AU150" s="6"/>
      <c r="AV150" s="6"/>
      <c r="AW150" s="6">
        <v>100</v>
      </c>
      <c r="AX150" s="6">
        <v>500</v>
      </c>
      <c r="AY150" s="11">
        <f t="shared" si="6"/>
        <v>3150</v>
      </c>
      <c r="AZ150" s="42" t="s">
        <v>18</v>
      </c>
      <c r="BA150" s="6"/>
      <c r="BC150" s="2"/>
    </row>
    <row r="151" spans="1:55" s="4" customFormat="1" ht="11.25">
      <c r="A151" s="3" t="s">
        <v>187</v>
      </c>
      <c r="B151" s="4" t="s">
        <v>68</v>
      </c>
      <c r="C151" s="4" t="s">
        <v>294</v>
      </c>
      <c r="D151" s="6"/>
      <c r="F151" s="6"/>
      <c r="G151" s="6">
        <v>500</v>
      </c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7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>
        <v>300</v>
      </c>
      <c r="AM151" s="6"/>
      <c r="AN151" s="6"/>
      <c r="AO151" s="6"/>
      <c r="AP151" s="6"/>
      <c r="AQ151" s="6">
        <v>400</v>
      </c>
      <c r="AR151" s="6"/>
      <c r="AS151" s="6"/>
      <c r="AT151" s="6"/>
      <c r="AU151" s="6"/>
      <c r="AV151" s="6"/>
      <c r="AW151" s="6">
        <v>100</v>
      </c>
      <c r="AX151" s="6"/>
      <c r="AY151" s="11">
        <f t="shared" si="6"/>
        <v>1300</v>
      </c>
      <c r="AZ151" s="42" t="s">
        <v>18</v>
      </c>
      <c r="BA151" s="6"/>
      <c r="BC151" s="2"/>
    </row>
    <row r="152" spans="1:55" s="4" customFormat="1" ht="11.25">
      <c r="A152" s="3" t="s">
        <v>188</v>
      </c>
      <c r="B152" s="4" t="s">
        <v>62</v>
      </c>
      <c r="C152" s="4" t="s">
        <v>61</v>
      </c>
      <c r="D152" s="6"/>
      <c r="E152" s="5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7"/>
      <c r="W152" s="6"/>
      <c r="X152" s="6"/>
      <c r="Y152" s="6"/>
      <c r="Z152" s="6"/>
      <c r="AA152" s="6"/>
      <c r="AB152" s="6"/>
      <c r="AC152" s="6"/>
      <c r="AD152" s="6"/>
      <c r="AE152" s="6"/>
      <c r="AF152" s="5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>
        <v>150</v>
      </c>
      <c r="AR152" s="6"/>
      <c r="AS152" s="6"/>
      <c r="AT152" s="6"/>
      <c r="AU152" s="6"/>
      <c r="AV152" s="6"/>
      <c r="AW152" s="6"/>
      <c r="AX152" s="6"/>
      <c r="AY152" s="11">
        <f t="shared" si="6"/>
        <v>150</v>
      </c>
      <c r="AZ152" s="42" t="s">
        <v>18</v>
      </c>
      <c r="BA152" s="6"/>
      <c r="BC152" s="2"/>
    </row>
    <row r="153" spans="1:53" s="4" customFormat="1" ht="11.25">
      <c r="A153" s="3" t="s">
        <v>189</v>
      </c>
      <c r="B153" s="4" t="s">
        <v>293</v>
      </c>
      <c r="C153" s="4" t="s">
        <v>274</v>
      </c>
      <c r="D153" s="6"/>
      <c r="E153" s="5">
        <v>1</v>
      </c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7"/>
      <c r="W153" s="6"/>
      <c r="X153" s="6"/>
      <c r="Y153" s="6"/>
      <c r="Z153" s="6"/>
      <c r="AA153" s="6"/>
      <c r="AB153" s="6"/>
      <c r="AC153" s="6"/>
      <c r="AD153" s="6"/>
      <c r="AE153" s="6"/>
      <c r="AF153" s="5"/>
      <c r="AG153" s="6"/>
      <c r="AH153" s="6"/>
      <c r="AI153" s="6"/>
      <c r="AJ153" s="6">
        <v>1</v>
      </c>
      <c r="AK153" s="6">
        <v>1</v>
      </c>
      <c r="AL153" s="6">
        <v>2</v>
      </c>
      <c r="AM153" s="6">
        <v>1</v>
      </c>
      <c r="AN153" s="6"/>
      <c r="AO153" s="6"/>
      <c r="AP153" s="6"/>
      <c r="AQ153" s="6">
        <v>2</v>
      </c>
      <c r="AR153" s="6"/>
      <c r="AS153" s="6"/>
      <c r="AT153" s="6"/>
      <c r="AU153" s="6"/>
      <c r="AV153" s="6"/>
      <c r="AW153" s="6"/>
      <c r="AX153" s="6"/>
      <c r="AY153" s="11">
        <f t="shared" si="6"/>
        <v>8</v>
      </c>
      <c r="AZ153" s="42" t="s">
        <v>18</v>
      </c>
      <c r="BA153" s="6"/>
    </row>
    <row r="154" spans="1:53" s="4" customFormat="1" ht="11.25">
      <c r="A154" s="3" t="s">
        <v>190</v>
      </c>
      <c r="B154" s="4" t="str">
        <f>"GOLYÓSTOLL (PENAC RB-085 B.)"</f>
        <v>GOLYÓSTOLL (PENAC RB-085 B.)</v>
      </c>
      <c r="C154" s="4" t="s">
        <v>28</v>
      </c>
      <c r="D154" s="6"/>
      <c r="E154" s="5">
        <v>4</v>
      </c>
      <c r="F154" s="6"/>
      <c r="G154" s="6">
        <v>30</v>
      </c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7"/>
      <c r="W154" s="6"/>
      <c r="X154" s="6"/>
      <c r="Y154" s="6"/>
      <c r="Z154" s="6"/>
      <c r="AA154" s="6"/>
      <c r="AB154" s="6"/>
      <c r="AC154" s="6"/>
      <c r="AD154" s="6"/>
      <c r="AE154" s="6"/>
      <c r="AF154" s="5"/>
      <c r="AG154" s="6"/>
      <c r="AH154" s="6"/>
      <c r="AI154" s="6"/>
      <c r="AJ154" s="6"/>
      <c r="AK154" s="6"/>
      <c r="AL154" s="6"/>
      <c r="AM154" s="6"/>
      <c r="AN154" s="6"/>
      <c r="AO154" s="6">
        <v>2</v>
      </c>
      <c r="AP154" s="6">
        <v>2</v>
      </c>
      <c r="AQ154" s="6"/>
      <c r="AR154" s="6"/>
      <c r="AS154" s="6"/>
      <c r="AT154" s="6"/>
      <c r="AU154" s="6"/>
      <c r="AV154" s="6"/>
      <c r="AW154" s="6"/>
      <c r="AX154" s="6"/>
      <c r="AY154" s="11">
        <f t="shared" si="6"/>
        <v>38</v>
      </c>
      <c r="AZ154" s="42" t="s">
        <v>18</v>
      </c>
      <c r="BA154" s="6"/>
    </row>
    <row r="155" spans="1:53" s="4" customFormat="1" ht="11.25">
      <c r="A155" s="3" t="s">
        <v>191</v>
      </c>
      <c r="B155" s="4" t="s">
        <v>291</v>
      </c>
      <c r="C155" s="4" t="s">
        <v>45</v>
      </c>
      <c r="D155" s="6">
        <v>20</v>
      </c>
      <c r="E155" s="5">
        <v>4</v>
      </c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7"/>
      <c r="W155" s="6"/>
      <c r="X155" s="6"/>
      <c r="Y155" s="6"/>
      <c r="Z155" s="6"/>
      <c r="AA155" s="6"/>
      <c r="AB155" s="6"/>
      <c r="AC155" s="6"/>
      <c r="AD155" s="6"/>
      <c r="AE155" s="6"/>
      <c r="AF155" s="5"/>
      <c r="AG155" s="6"/>
      <c r="AH155" s="6"/>
      <c r="AI155" s="6"/>
      <c r="AJ155" s="6">
        <v>5</v>
      </c>
      <c r="AK155" s="6">
        <v>5</v>
      </c>
      <c r="AL155" s="6">
        <v>5</v>
      </c>
      <c r="AM155" s="6">
        <v>5</v>
      </c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11">
        <f t="shared" si="6"/>
        <v>44</v>
      </c>
      <c r="AZ155" s="42" t="s">
        <v>18</v>
      </c>
      <c r="BA155" s="6"/>
    </row>
    <row r="156" spans="1:53" s="4" customFormat="1" ht="11.25">
      <c r="A156" s="3" t="s">
        <v>192</v>
      </c>
      <c r="B156" s="4" t="s">
        <v>64</v>
      </c>
      <c r="C156" s="4" t="s">
        <v>45</v>
      </c>
      <c r="D156" s="6">
        <v>20</v>
      </c>
      <c r="E156" s="5">
        <v>4</v>
      </c>
      <c r="F156" s="6"/>
      <c r="G156" s="6">
        <v>36</v>
      </c>
      <c r="H156" s="6"/>
      <c r="I156" s="6"/>
      <c r="J156" s="6"/>
      <c r="K156" s="6"/>
      <c r="L156" s="6"/>
      <c r="M156" s="6"/>
      <c r="N156" s="6"/>
      <c r="O156" s="6"/>
      <c r="P156" s="6"/>
      <c r="Q156" s="6">
        <v>2</v>
      </c>
      <c r="R156" s="6"/>
      <c r="S156" s="6"/>
      <c r="T156" s="6"/>
      <c r="U156" s="6"/>
      <c r="V156" s="7"/>
      <c r="W156" s="6"/>
      <c r="X156" s="6"/>
      <c r="Y156" s="6"/>
      <c r="Z156" s="6"/>
      <c r="AA156" s="6"/>
      <c r="AB156" s="6"/>
      <c r="AC156" s="6"/>
      <c r="AD156" s="6"/>
      <c r="AE156" s="6"/>
      <c r="AF156" s="5"/>
      <c r="AG156" s="6"/>
      <c r="AH156" s="6"/>
      <c r="AI156" s="6"/>
      <c r="AJ156" s="6"/>
      <c r="AK156" s="6"/>
      <c r="AL156" s="6"/>
      <c r="AM156" s="6"/>
      <c r="AN156" s="6"/>
      <c r="AO156" s="6">
        <v>2</v>
      </c>
      <c r="AP156" s="6">
        <v>2</v>
      </c>
      <c r="AQ156" s="6"/>
      <c r="AR156" s="6"/>
      <c r="AS156" s="6"/>
      <c r="AT156" s="6"/>
      <c r="AU156" s="6"/>
      <c r="AV156" s="6">
        <v>2</v>
      </c>
      <c r="AW156" s="6">
        <v>6</v>
      </c>
      <c r="AX156" s="6">
        <v>24</v>
      </c>
      <c r="AY156" s="11">
        <f t="shared" si="6"/>
        <v>98</v>
      </c>
      <c r="AZ156" s="42" t="s">
        <v>18</v>
      </c>
      <c r="BA156" s="6"/>
    </row>
    <row r="157" spans="1:53" s="4" customFormat="1" ht="11.25">
      <c r="A157" s="3" t="s">
        <v>193</v>
      </c>
      <c r="B157" s="4" t="s">
        <v>103</v>
      </c>
      <c r="C157" s="4" t="s">
        <v>107</v>
      </c>
      <c r="D157" s="6"/>
      <c r="E157" s="5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7"/>
      <c r="W157" s="6"/>
      <c r="X157" s="6"/>
      <c r="Y157" s="6"/>
      <c r="Z157" s="6"/>
      <c r="AA157" s="6"/>
      <c r="AB157" s="6"/>
      <c r="AC157" s="6"/>
      <c r="AD157" s="6"/>
      <c r="AE157" s="6"/>
      <c r="AF157" s="5"/>
      <c r="AG157" s="6"/>
      <c r="AH157" s="6"/>
      <c r="AI157" s="6"/>
      <c r="AJ157" s="6">
        <v>2</v>
      </c>
      <c r="AK157" s="6"/>
      <c r="AL157" s="6">
        <v>2</v>
      </c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11">
        <f t="shared" si="6"/>
        <v>4</v>
      </c>
      <c r="AZ157" s="42" t="s">
        <v>18</v>
      </c>
      <c r="BA157" s="6"/>
    </row>
    <row r="158" spans="1:53" s="4" customFormat="1" ht="11.25">
      <c r="A158" s="3" t="s">
        <v>194</v>
      </c>
      <c r="B158" s="4" t="s">
        <v>310</v>
      </c>
      <c r="C158" s="4" t="s">
        <v>45</v>
      </c>
      <c r="D158" s="6">
        <v>5</v>
      </c>
      <c r="E158" s="5">
        <v>4</v>
      </c>
      <c r="F158" s="6"/>
      <c r="G158" s="6"/>
      <c r="H158" s="6"/>
      <c r="I158" s="6"/>
      <c r="J158" s="6">
        <v>10</v>
      </c>
      <c r="K158" s="6"/>
      <c r="L158" s="6">
        <v>2</v>
      </c>
      <c r="M158" s="6"/>
      <c r="N158" s="6">
        <v>2</v>
      </c>
      <c r="O158" s="6"/>
      <c r="P158" s="6"/>
      <c r="Q158" s="6">
        <v>6</v>
      </c>
      <c r="R158" s="6"/>
      <c r="S158" s="6"/>
      <c r="T158" s="6"/>
      <c r="U158" s="6">
        <v>1</v>
      </c>
      <c r="V158" s="7"/>
      <c r="W158" s="6"/>
      <c r="X158" s="6"/>
      <c r="Y158" s="6"/>
      <c r="Z158" s="6"/>
      <c r="AA158" s="6"/>
      <c r="AB158" s="6"/>
      <c r="AC158" s="6"/>
      <c r="AD158" s="6"/>
      <c r="AE158" s="6"/>
      <c r="AF158" s="5"/>
      <c r="AG158" s="6"/>
      <c r="AH158" s="6"/>
      <c r="AI158" s="6"/>
      <c r="AJ158" s="6"/>
      <c r="AK158" s="6"/>
      <c r="AL158" s="6"/>
      <c r="AM158" s="6"/>
      <c r="AN158" s="6">
        <v>2</v>
      </c>
      <c r="AO158" s="6"/>
      <c r="AP158" s="6"/>
      <c r="AQ158" s="6">
        <v>2</v>
      </c>
      <c r="AR158" s="6"/>
      <c r="AS158" s="6"/>
      <c r="AT158" s="6"/>
      <c r="AU158" s="6"/>
      <c r="AV158" s="6">
        <v>1</v>
      </c>
      <c r="AW158" s="6">
        <v>2</v>
      </c>
      <c r="AX158" s="6">
        <v>24</v>
      </c>
      <c r="AY158" s="11">
        <f t="shared" si="6"/>
        <v>61</v>
      </c>
      <c r="AZ158" s="42" t="s">
        <v>18</v>
      </c>
      <c r="BA158" s="6"/>
    </row>
    <row r="159" spans="1:53" s="4" customFormat="1" ht="11.25">
      <c r="A159" s="3" t="s">
        <v>195</v>
      </c>
      <c r="B159" s="4" t="s">
        <v>74</v>
      </c>
      <c r="C159" s="4" t="s">
        <v>45</v>
      </c>
      <c r="D159" s="6"/>
      <c r="E159" s="5"/>
      <c r="F159" s="6"/>
      <c r="G159" s="6">
        <v>30</v>
      </c>
      <c r="H159" s="6"/>
      <c r="I159" s="6"/>
      <c r="J159" s="6"/>
      <c r="K159" s="6"/>
      <c r="L159" s="6">
        <v>2</v>
      </c>
      <c r="M159" s="6"/>
      <c r="N159" s="6"/>
      <c r="O159" s="6"/>
      <c r="P159" s="6"/>
      <c r="Q159" s="6"/>
      <c r="R159" s="6"/>
      <c r="S159" s="6"/>
      <c r="T159" s="6"/>
      <c r="U159" s="6"/>
      <c r="V159" s="7"/>
      <c r="W159" s="6"/>
      <c r="X159" s="6"/>
      <c r="Y159" s="6"/>
      <c r="Z159" s="6"/>
      <c r="AA159" s="6"/>
      <c r="AB159" s="6"/>
      <c r="AC159" s="6"/>
      <c r="AD159" s="6"/>
      <c r="AE159" s="6"/>
      <c r="AF159" s="5"/>
      <c r="AG159" s="6"/>
      <c r="AH159" s="6"/>
      <c r="AI159" s="6"/>
      <c r="AJ159" s="6">
        <v>10</v>
      </c>
      <c r="AK159" s="6">
        <v>10</v>
      </c>
      <c r="AL159" s="6">
        <v>10</v>
      </c>
      <c r="AM159" s="6">
        <v>10</v>
      </c>
      <c r="AN159" s="6"/>
      <c r="AO159" s="6">
        <v>2</v>
      </c>
      <c r="AP159" s="6">
        <v>2</v>
      </c>
      <c r="AQ159" s="6"/>
      <c r="AR159" s="6"/>
      <c r="AS159" s="6"/>
      <c r="AT159" s="6"/>
      <c r="AU159" s="6"/>
      <c r="AV159" s="6"/>
      <c r="AW159" s="6"/>
      <c r="AX159" s="6"/>
      <c r="AY159" s="11">
        <f t="shared" si="6"/>
        <v>76</v>
      </c>
      <c r="AZ159" s="42" t="s">
        <v>18</v>
      </c>
      <c r="BA159" s="6"/>
    </row>
    <row r="160" spans="1:53" s="4" customFormat="1" ht="11.25">
      <c r="A160" s="3" t="s">
        <v>196</v>
      </c>
      <c r="B160" s="4" t="s">
        <v>272</v>
      </c>
      <c r="C160" s="4" t="s">
        <v>273</v>
      </c>
      <c r="D160" s="6"/>
      <c r="E160" s="5"/>
      <c r="F160" s="6"/>
      <c r="G160" s="6">
        <v>5</v>
      </c>
      <c r="H160" s="6"/>
      <c r="I160" s="6"/>
      <c r="J160" s="6">
        <v>10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7"/>
      <c r="W160" s="6"/>
      <c r="X160" s="6"/>
      <c r="Y160" s="6"/>
      <c r="Z160" s="6"/>
      <c r="AA160" s="6"/>
      <c r="AB160" s="6"/>
      <c r="AC160" s="6"/>
      <c r="AD160" s="6"/>
      <c r="AE160" s="6"/>
      <c r="AF160" s="5"/>
      <c r="AG160" s="6"/>
      <c r="AH160" s="6"/>
      <c r="AI160" s="6"/>
      <c r="AJ160" s="6"/>
      <c r="AK160" s="6"/>
      <c r="AL160" s="6"/>
      <c r="AM160" s="6"/>
      <c r="AN160" s="6"/>
      <c r="AO160" s="6">
        <v>2</v>
      </c>
      <c r="AP160" s="6">
        <v>2</v>
      </c>
      <c r="AQ160" s="6"/>
      <c r="AR160" s="6"/>
      <c r="AS160" s="6"/>
      <c r="AT160" s="6"/>
      <c r="AU160" s="6"/>
      <c r="AV160" s="6"/>
      <c r="AW160" s="6">
        <v>2</v>
      </c>
      <c r="AX160" s="6"/>
      <c r="AY160" s="11">
        <f t="shared" si="6"/>
        <v>21</v>
      </c>
      <c r="AZ160" s="42" t="s">
        <v>18</v>
      </c>
      <c r="BA160" s="6"/>
    </row>
    <row r="161" spans="1:53" s="4" customFormat="1" ht="11.25">
      <c r="A161" s="3" t="s">
        <v>197</v>
      </c>
      <c r="B161" s="4" t="s">
        <v>272</v>
      </c>
      <c r="C161" s="4" t="s">
        <v>285</v>
      </c>
      <c r="D161" s="6"/>
      <c r="E161" s="5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7"/>
      <c r="W161" s="6"/>
      <c r="X161" s="6"/>
      <c r="Y161" s="6"/>
      <c r="Z161" s="6"/>
      <c r="AA161" s="6"/>
      <c r="AB161" s="6"/>
      <c r="AC161" s="6"/>
      <c r="AD161" s="6"/>
      <c r="AE161" s="6"/>
      <c r="AF161" s="5"/>
      <c r="AG161" s="6"/>
      <c r="AH161" s="6"/>
      <c r="AI161" s="6"/>
      <c r="AJ161" s="6"/>
      <c r="AK161" s="6"/>
      <c r="AL161" s="6"/>
      <c r="AM161" s="6"/>
      <c r="AN161" s="6"/>
      <c r="AO161" s="6">
        <v>2</v>
      </c>
      <c r="AP161" s="6">
        <v>2</v>
      </c>
      <c r="AQ161" s="6"/>
      <c r="AR161" s="6"/>
      <c r="AS161" s="6"/>
      <c r="AT161" s="6"/>
      <c r="AU161" s="6"/>
      <c r="AV161" s="6"/>
      <c r="AW161" s="6"/>
      <c r="AX161" s="6"/>
      <c r="AY161" s="11">
        <f t="shared" si="6"/>
        <v>4</v>
      </c>
      <c r="AZ161" s="42" t="s">
        <v>18</v>
      </c>
      <c r="BA161" s="6"/>
    </row>
    <row r="162" spans="1:53" s="2" customFormat="1" ht="11.25" hidden="1">
      <c r="A162" s="3"/>
      <c r="B162" s="4" t="s">
        <v>31</v>
      </c>
      <c r="C162" s="4" t="str">
        <f>"A/4"</f>
        <v>A/4</v>
      </c>
      <c r="D162" s="6"/>
      <c r="E162" s="5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7"/>
      <c r="W162" s="6"/>
      <c r="X162" s="6"/>
      <c r="Y162" s="6"/>
      <c r="Z162" s="6"/>
      <c r="AA162" s="6"/>
      <c r="AB162" s="6"/>
      <c r="AC162" s="6"/>
      <c r="AD162" s="6"/>
      <c r="AE162" s="6"/>
      <c r="AF162" s="5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11">
        <f t="shared" si="6"/>
        <v>0</v>
      </c>
      <c r="AZ162" s="42" t="s">
        <v>18</v>
      </c>
      <c r="BA162" s="11"/>
    </row>
    <row r="163" spans="1:53" s="4" customFormat="1" ht="11.25">
      <c r="A163" s="3" t="s">
        <v>198</v>
      </c>
      <c r="B163" s="4" t="s">
        <v>97</v>
      </c>
      <c r="C163" s="4" t="s">
        <v>127</v>
      </c>
      <c r="D163" s="6">
        <v>5</v>
      </c>
      <c r="E163" s="5">
        <v>4</v>
      </c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7"/>
      <c r="W163" s="6"/>
      <c r="X163" s="6"/>
      <c r="Y163" s="6"/>
      <c r="Z163" s="6"/>
      <c r="AA163" s="6"/>
      <c r="AB163" s="6"/>
      <c r="AC163" s="6"/>
      <c r="AD163" s="6"/>
      <c r="AE163" s="6"/>
      <c r="AF163" s="5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>
        <v>1</v>
      </c>
      <c r="AV163" s="6"/>
      <c r="AW163" s="6">
        <v>4</v>
      </c>
      <c r="AX163" s="6"/>
      <c r="AY163" s="11">
        <f t="shared" si="6"/>
        <v>14</v>
      </c>
      <c r="AZ163" s="42" t="s">
        <v>18</v>
      </c>
      <c r="BA163" s="6"/>
    </row>
    <row r="164" spans="1:55" s="2" customFormat="1" ht="11.25" hidden="1">
      <c r="A164" s="3"/>
      <c r="B164" s="4" t="str">
        <f>"LEFŰZHETŐS TASAK"</f>
        <v>LEFŰZHETŐS TASAK</v>
      </c>
      <c r="C164" s="4"/>
      <c r="D164" s="6"/>
      <c r="E164" s="5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7"/>
      <c r="W164" s="6"/>
      <c r="X164" s="6"/>
      <c r="Y164" s="6"/>
      <c r="Z164" s="6"/>
      <c r="AA164" s="6"/>
      <c r="AB164" s="6"/>
      <c r="AC164" s="6"/>
      <c r="AD164" s="6"/>
      <c r="AE164" s="6"/>
      <c r="AF164" s="5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11">
        <f t="shared" si="6"/>
        <v>0</v>
      </c>
      <c r="AZ164" s="42" t="s">
        <v>18</v>
      </c>
      <c r="BA164" s="11"/>
      <c r="BC164" s="4"/>
    </row>
    <row r="165" spans="1:53" s="4" customFormat="1" ht="11.25" hidden="1">
      <c r="A165" s="3"/>
      <c r="B165" s="4" t="str">
        <f>"LEPORELLÓ (1 PLD-OS)"</f>
        <v>LEPORELLÓ (1 PLD-OS)</v>
      </c>
      <c r="C165" s="4" t="s">
        <v>0</v>
      </c>
      <c r="D165" s="6"/>
      <c r="E165" s="5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7"/>
      <c r="W165" s="6"/>
      <c r="X165" s="6"/>
      <c r="Y165" s="6"/>
      <c r="Z165" s="6"/>
      <c r="AA165" s="6"/>
      <c r="AB165" s="6"/>
      <c r="AC165" s="6"/>
      <c r="AD165" s="6"/>
      <c r="AE165" s="6"/>
      <c r="AF165" s="5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11">
        <f t="shared" si="6"/>
        <v>0</v>
      </c>
      <c r="AZ165" s="42" t="s">
        <v>18</v>
      </c>
      <c r="BA165" s="6"/>
    </row>
    <row r="166" spans="1:53" s="4" customFormat="1" ht="11.25" hidden="1">
      <c r="A166" s="3"/>
      <c r="B166" s="4" t="str">
        <f>"LEPORELLÓ (2 PLD-OS)"</f>
        <v>LEPORELLÓ (2 PLD-OS)</v>
      </c>
      <c r="C166" s="4" t="s">
        <v>0</v>
      </c>
      <c r="D166" s="6"/>
      <c r="E166" s="5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7"/>
      <c r="W166" s="6"/>
      <c r="X166" s="6"/>
      <c r="Y166" s="6"/>
      <c r="Z166" s="6"/>
      <c r="AA166" s="6"/>
      <c r="AB166" s="6"/>
      <c r="AC166" s="6"/>
      <c r="AD166" s="6"/>
      <c r="AE166" s="6"/>
      <c r="AF166" s="5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11">
        <f t="shared" si="6"/>
        <v>0</v>
      </c>
      <c r="AZ166" s="42" t="s">
        <v>18</v>
      </c>
      <c r="BA166" s="6"/>
    </row>
    <row r="167" spans="1:55" s="4" customFormat="1" ht="11.25" hidden="1">
      <c r="A167" s="3"/>
      <c r="B167" s="4" t="str">
        <f>"LEPORELLO (SZÉLES) MÜLLER"</f>
        <v>LEPORELLO (SZÉLES) MÜLLER</v>
      </c>
      <c r="C167" s="4" t="str">
        <f>"382/1"</f>
        <v>382/1</v>
      </c>
      <c r="D167" s="6"/>
      <c r="E167" s="5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7"/>
      <c r="W167" s="6"/>
      <c r="X167" s="6"/>
      <c r="Y167" s="6"/>
      <c r="Z167" s="6"/>
      <c r="AA167" s="6"/>
      <c r="AB167" s="6"/>
      <c r="AC167" s="6"/>
      <c r="AD167" s="6"/>
      <c r="AE167" s="6"/>
      <c r="AF167" s="5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11">
        <f t="shared" si="6"/>
        <v>0</v>
      </c>
      <c r="AZ167" s="42" t="s">
        <v>18</v>
      </c>
      <c r="BA167" s="6"/>
      <c r="BC167" s="2"/>
    </row>
    <row r="168" spans="1:55" s="2" customFormat="1" ht="11.25" hidden="1">
      <c r="A168" s="3"/>
      <c r="B168" s="4" t="str">
        <f>"LÉPTÉKES VONALZÓ"</f>
        <v>LÉPTÉKES VONALZÓ</v>
      </c>
      <c r="C168" s="4" t="str">
        <f>"601"</f>
        <v>601</v>
      </c>
      <c r="D168" s="6"/>
      <c r="E168" s="5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7"/>
      <c r="W168" s="6"/>
      <c r="X168" s="6"/>
      <c r="Y168" s="6"/>
      <c r="Z168" s="6"/>
      <c r="AA168" s="6"/>
      <c r="AB168" s="6"/>
      <c r="AC168" s="6"/>
      <c r="AD168" s="6"/>
      <c r="AE168" s="6"/>
      <c r="AF168" s="5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11">
        <f t="shared" si="6"/>
        <v>0</v>
      </c>
      <c r="AZ168" s="42" t="s">
        <v>18</v>
      </c>
      <c r="BA168" s="11"/>
      <c r="BC168" s="4"/>
    </row>
    <row r="169" spans="1:55" s="4" customFormat="1" ht="11.25" hidden="1">
      <c r="A169" s="3"/>
      <c r="B169" s="4" t="str">
        <f>"LEVÉLBONTÓ KÉS"</f>
        <v>LEVÉLBONTÓ KÉS</v>
      </c>
      <c r="D169" s="6"/>
      <c r="E169" s="5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7"/>
      <c r="W169" s="6"/>
      <c r="X169" s="6"/>
      <c r="Y169" s="6"/>
      <c r="Z169" s="6"/>
      <c r="AA169" s="6"/>
      <c r="AB169" s="6"/>
      <c r="AC169" s="6"/>
      <c r="AD169" s="6"/>
      <c r="AE169" s="6"/>
      <c r="AF169" s="5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11">
        <f t="shared" si="6"/>
        <v>0</v>
      </c>
      <c r="AZ169" s="42" t="s">
        <v>18</v>
      </c>
      <c r="BA169" s="6"/>
      <c r="BC169" s="2"/>
    </row>
    <row r="170" spans="1:53" s="2" customFormat="1" ht="11.25" hidden="1">
      <c r="A170" s="3"/>
      <c r="B170" s="4" t="str">
        <f>"LYUKASZTÓGÉP"</f>
        <v>LYUKASZTÓGÉP</v>
      </c>
      <c r="C170" s="4" t="str">
        <f>"EAGLE 837 L"</f>
        <v>EAGLE 837 L</v>
      </c>
      <c r="D170" s="6"/>
      <c r="E170" s="5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7"/>
      <c r="W170" s="6"/>
      <c r="X170" s="6"/>
      <c r="Y170" s="6"/>
      <c r="Z170" s="6"/>
      <c r="AA170" s="6"/>
      <c r="AB170" s="6"/>
      <c r="AC170" s="6"/>
      <c r="AD170" s="6"/>
      <c r="AE170" s="6"/>
      <c r="AF170" s="5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11">
        <f t="shared" si="6"/>
        <v>0</v>
      </c>
      <c r="AZ170" s="42" t="s">
        <v>18</v>
      </c>
      <c r="BA170" s="11"/>
    </row>
    <row r="171" spans="1:53" s="2" customFormat="1" ht="11.25" hidden="1">
      <c r="A171" s="3"/>
      <c r="B171" s="4" t="str">
        <f>"LYUKASZTÓGÉP"</f>
        <v>LYUKASZTÓGÉP</v>
      </c>
      <c r="C171" s="4" t="str">
        <f>"RAPESCO 820-P"</f>
        <v>RAPESCO 820-P</v>
      </c>
      <c r="D171" s="6"/>
      <c r="E171" s="5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7"/>
      <c r="W171" s="6"/>
      <c r="X171" s="6"/>
      <c r="Y171" s="6"/>
      <c r="Z171" s="6"/>
      <c r="AA171" s="6"/>
      <c r="AB171" s="6"/>
      <c r="AC171" s="6"/>
      <c r="AD171" s="6"/>
      <c r="AE171" s="6"/>
      <c r="AF171" s="5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11">
        <f t="shared" si="6"/>
        <v>0</v>
      </c>
      <c r="AZ171" s="42" t="s">
        <v>18</v>
      </c>
      <c r="BA171" s="11"/>
    </row>
    <row r="172" spans="1:53" s="2" customFormat="1" ht="11.25" hidden="1">
      <c r="A172" s="3"/>
      <c r="B172" s="4" t="str">
        <f>"LYUKASZTÓGÉP"</f>
        <v>LYUKASZTÓGÉP</v>
      </c>
      <c r="C172" s="4" t="str">
        <f>"SAX 318"</f>
        <v>SAX 318</v>
      </c>
      <c r="D172" s="6"/>
      <c r="E172" s="5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7"/>
      <c r="W172" s="6"/>
      <c r="X172" s="6"/>
      <c r="Y172" s="6"/>
      <c r="Z172" s="6"/>
      <c r="AA172" s="6"/>
      <c r="AB172" s="6"/>
      <c r="AC172" s="6"/>
      <c r="AD172" s="6"/>
      <c r="AE172" s="6"/>
      <c r="AF172" s="5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11">
        <f t="shared" si="6"/>
        <v>0</v>
      </c>
      <c r="AZ172" s="42" t="s">
        <v>18</v>
      </c>
      <c r="BA172" s="11"/>
    </row>
    <row r="173" spans="1:53" s="2" customFormat="1" ht="11.25" hidden="1">
      <c r="A173" s="3"/>
      <c r="B173" s="4" t="str">
        <f>"MAGIC CLIP ADAGOLÓ"</f>
        <v>MAGIC CLIP ADAGOLÓ</v>
      </c>
      <c r="C173" s="4"/>
      <c r="D173" s="6"/>
      <c r="E173" s="5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7"/>
      <c r="W173" s="6"/>
      <c r="X173" s="6"/>
      <c r="Y173" s="6"/>
      <c r="Z173" s="6"/>
      <c r="AA173" s="6"/>
      <c r="AB173" s="6"/>
      <c r="AC173" s="6"/>
      <c r="AD173" s="6"/>
      <c r="AE173" s="6"/>
      <c r="AF173" s="5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11">
        <f t="shared" si="6"/>
        <v>0</v>
      </c>
      <c r="AZ173" s="42" t="s">
        <v>18</v>
      </c>
      <c r="BA173" s="11"/>
    </row>
    <row r="174" spans="1:53" s="2" customFormat="1" ht="11.25">
      <c r="A174" s="3" t="s">
        <v>199</v>
      </c>
      <c r="B174" s="4" t="s">
        <v>79</v>
      </c>
      <c r="C174" s="4" t="s">
        <v>80</v>
      </c>
      <c r="D174" s="6"/>
      <c r="E174" s="5"/>
      <c r="F174" s="6"/>
      <c r="G174" s="6"/>
      <c r="H174" s="6"/>
      <c r="I174" s="6"/>
      <c r="J174" s="6">
        <v>1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7"/>
      <c r="W174" s="6"/>
      <c r="X174" s="6"/>
      <c r="Y174" s="6"/>
      <c r="Z174" s="6"/>
      <c r="AA174" s="6"/>
      <c r="AB174" s="6"/>
      <c r="AC174" s="6"/>
      <c r="AD174" s="6"/>
      <c r="AE174" s="6"/>
      <c r="AF174" s="5"/>
      <c r="AG174" s="6"/>
      <c r="AH174" s="6"/>
      <c r="AI174" s="6"/>
      <c r="AJ174" s="6"/>
      <c r="AK174" s="6">
        <v>1</v>
      </c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11">
        <f t="shared" si="6"/>
        <v>2</v>
      </c>
      <c r="AZ174" s="42" t="s">
        <v>18</v>
      </c>
      <c r="BA174" s="11"/>
    </row>
    <row r="175" spans="1:53" s="2" customFormat="1" ht="11.25">
      <c r="A175" s="3" t="s">
        <v>200</v>
      </c>
      <c r="B175" s="4" t="s">
        <v>275</v>
      </c>
      <c r="C175" s="4"/>
      <c r="D175" s="6"/>
      <c r="E175" s="5"/>
      <c r="F175" s="6"/>
      <c r="G175" s="6">
        <v>36</v>
      </c>
      <c r="H175" s="6"/>
      <c r="I175" s="6"/>
      <c r="J175" s="6"/>
      <c r="K175" s="6"/>
      <c r="L175" s="6"/>
      <c r="M175" s="6"/>
      <c r="N175" s="6"/>
      <c r="O175" s="6"/>
      <c r="P175" s="6"/>
      <c r="Q175" s="6">
        <v>1</v>
      </c>
      <c r="R175" s="6"/>
      <c r="S175" s="6"/>
      <c r="T175" s="6">
        <v>3</v>
      </c>
      <c r="U175" s="6"/>
      <c r="V175" s="7"/>
      <c r="W175" s="6"/>
      <c r="X175" s="6"/>
      <c r="Y175" s="6"/>
      <c r="Z175" s="6"/>
      <c r="AA175" s="6"/>
      <c r="AB175" s="6"/>
      <c r="AC175" s="6"/>
      <c r="AD175" s="6"/>
      <c r="AE175" s="6"/>
      <c r="AF175" s="5"/>
      <c r="AG175" s="6"/>
      <c r="AH175" s="6"/>
      <c r="AI175" s="6"/>
      <c r="AJ175" s="6"/>
      <c r="AK175" s="6"/>
      <c r="AL175" s="6"/>
      <c r="AM175" s="6"/>
      <c r="AN175" s="6">
        <v>1</v>
      </c>
      <c r="AO175" s="6"/>
      <c r="AP175" s="6"/>
      <c r="AQ175" s="6"/>
      <c r="AR175" s="6"/>
      <c r="AS175" s="6"/>
      <c r="AT175" s="6"/>
      <c r="AU175" s="6"/>
      <c r="AV175" s="6"/>
      <c r="AW175" s="6">
        <v>4</v>
      </c>
      <c r="AX175" s="6"/>
      <c r="AY175" s="11">
        <f t="shared" si="6"/>
        <v>45</v>
      </c>
      <c r="AZ175" s="42" t="s">
        <v>18</v>
      </c>
      <c r="BA175" s="11"/>
    </row>
    <row r="176" spans="1:53" s="2" customFormat="1" ht="11.25">
      <c r="A176" s="3" t="s">
        <v>201</v>
      </c>
      <c r="B176" s="2" t="s">
        <v>290</v>
      </c>
      <c r="C176" s="2" t="s">
        <v>289</v>
      </c>
      <c r="D176" s="6"/>
      <c r="E176" s="5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7"/>
      <c r="W176" s="6"/>
      <c r="X176" s="6"/>
      <c r="Y176" s="6"/>
      <c r="Z176" s="6"/>
      <c r="AA176" s="6"/>
      <c r="AB176" s="6"/>
      <c r="AC176" s="6"/>
      <c r="AD176" s="6"/>
      <c r="AE176" s="6"/>
      <c r="AF176" s="5"/>
      <c r="AG176" s="6"/>
      <c r="AH176" s="6"/>
      <c r="AI176" s="6"/>
      <c r="AJ176" s="6"/>
      <c r="AK176" s="6"/>
      <c r="AL176" s="6"/>
      <c r="AM176" s="6"/>
      <c r="AN176" s="6"/>
      <c r="AO176" s="6"/>
      <c r="AP176" s="6">
        <v>2</v>
      </c>
      <c r="AQ176" s="6">
        <v>3</v>
      </c>
      <c r="AR176" s="6"/>
      <c r="AS176" s="6"/>
      <c r="AT176" s="6"/>
      <c r="AU176" s="6"/>
      <c r="AV176" s="6"/>
      <c r="AW176" s="6"/>
      <c r="AX176" s="6"/>
      <c r="AY176" s="11">
        <f t="shared" si="6"/>
        <v>5</v>
      </c>
      <c r="AZ176" s="42" t="s">
        <v>18</v>
      </c>
      <c r="BA176" s="11"/>
    </row>
    <row r="177" spans="1:53" s="2" customFormat="1" ht="11.25">
      <c r="A177" s="3" t="s">
        <v>202</v>
      </c>
      <c r="B177" s="4" t="s">
        <v>31</v>
      </c>
      <c r="C177" s="4" t="s">
        <v>78</v>
      </c>
      <c r="D177" s="6">
        <v>3</v>
      </c>
      <c r="E177" s="5"/>
      <c r="F177" s="6"/>
      <c r="G177" s="6"/>
      <c r="H177" s="6"/>
      <c r="I177" s="6"/>
      <c r="J177" s="6">
        <v>2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7"/>
      <c r="W177" s="6"/>
      <c r="X177" s="6"/>
      <c r="Y177" s="6"/>
      <c r="Z177" s="6"/>
      <c r="AA177" s="6"/>
      <c r="AB177" s="6"/>
      <c r="AC177" s="6"/>
      <c r="AD177" s="6"/>
      <c r="AE177" s="6"/>
      <c r="AF177" s="5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11">
        <f t="shared" si="6"/>
        <v>5</v>
      </c>
      <c r="AZ177" s="42" t="s">
        <v>18</v>
      </c>
      <c r="BA177" s="11"/>
    </row>
    <row r="178" spans="1:53" s="2" customFormat="1" ht="11.25" hidden="1">
      <c r="A178" s="3"/>
      <c r="B178" s="4" t="s">
        <v>32</v>
      </c>
      <c r="C178" s="4" t="str">
        <f>"A/4"</f>
        <v>A/4</v>
      </c>
      <c r="D178" s="6"/>
      <c r="E178" s="5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7"/>
      <c r="W178" s="6"/>
      <c r="X178" s="6"/>
      <c r="Y178" s="6"/>
      <c r="Z178" s="6"/>
      <c r="AA178" s="6"/>
      <c r="AB178" s="6"/>
      <c r="AC178" s="6"/>
      <c r="AD178" s="6"/>
      <c r="AE178" s="6"/>
      <c r="AF178" s="5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11">
        <f t="shared" si="6"/>
        <v>0</v>
      </c>
      <c r="AZ178" s="42" t="s">
        <v>18</v>
      </c>
      <c r="BA178" s="11"/>
    </row>
    <row r="179" spans="1:53" s="2" customFormat="1" ht="11.25">
      <c r="A179" s="3" t="s">
        <v>203</v>
      </c>
      <c r="B179" s="4" t="s">
        <v>31</v>
      </c>
      <c r="C179" s="4" t="s">
        <v>104</v>
      </c>
      <c r="D179" s="6"/>
      <c r="E179" s="5"/>
      <c r="F179" s="6"/>
      <c r="G179" s="6">
        <v>5</v>
      </c>
      <c r="H179" s="6"/>
      <c r="I179" s="6"/>
      <c r="J179" s="6">
        <v>8</v>
      </c>
      <c r="K179" s="6"/>
      <c r="L179" s="6">
        <v>3</v>
      </c>
      <c r="M179" s="6"/>
      <c r="N179" s="6"/>
      <c r="O179" s="6"/>
      <c r="P179" s="6"/>
      <c r="Q179" s="6"/>
      <c r="R179" s="6"/>
      <c r="S179" s="6"/>
      <c r="T179" s="6"/>
      <c r="U179" s="6"/>
      <c r="V179" s="7"/>
      <c r="W179" s="6"/>
      <c r="X179" s="6"/>
      <c r="Y179" s="6"/>
      <c r="Z179" s="6"/>
      <c r="AA179" s="6"/>
      <c r="AB179" s="6"/>
      <c r="AC179" s="6"/>
      <c r="AD179" s="6"/>
      <c r="AE179" s="6"/>
      <c r="AF179" s="5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>
        <v>10</v>
      </c>
      <c r="AU179" s="6"/>
      <c r="AV179" s="6"/>
      <c r="AW179" s="6"/>
      <c r="AX179" s="6"/>
      <c r="AY179" s="11">
        <f t="shared" si="6"/>
        <v>26</v>
      </c>
      <c r="AZ179" s="42" t="s">
        <v>18</v>
      </c>
      <c r="BA179" s="11"/>
    </row>
    <row r="180" spans="1:53" s="2" customFormat="1" ht="11.25">
      <c r="A180" s="3" t="s">
        <v>204</v>
      </c>
      <c r="B180" s="4" t="s">
        <v>31</v>
      </c>
      <c r="C180" s="4" t="s">
        <v>83</v>
      </c>
      <c r="D180" s="6">
        <v>3</v>
      </c>
      <c r="E180" s="5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7"/>
      <c r="W180" s="6"/>
      <c r="X180" s="6"/>
      <c r="Y180" s="6"/>
      <c r="Z180" s="6"/>
      <c r="AA180" s="6"/>
      <c r="AB180" s="6"/>
      <c r="AC180" s="6"/>
      <c r="AD180" s="6"/>
      <c r="AE180" s="6"/>
      <c r="AF180" s="5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11">
        <f t="shared" si="6"/>
        <v>3</v>
      </c>
      <c r="AZ180" s="42" t="s">
        <v>18</v>
      </c>
      <c r="BA180" s="11"/>
    </row>
    <row r="181" spans="1:53" s="2" customFormat="1" ht="11.25">
      <c r="A181" s="3" t="s">
        <v>205</v>
      </c>
      <c r="B181" s="4" t="s">
        <v>31</v>
      </c>
      <c r="C181" s="4" t="s">
        <v>94</v>
      </c>
      <c r="D181" s="6"/>
      <c r="E181" s="5"/>
      <c r="F181" s="6"/>
      <c r="G181" s="6">
        <v>5</v>
      </c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7"/>
      <c r="W181" s="6"/>
      <c r="X181" s="6"/>
      <c r="Y181" s="6"/>
      <c r="Z181" s="6"/>
      <c r="AA181" s="6"/>
      <c r="AB181" s="6"/>
      <c r="AC181" s="6"/>
      <c r="AD181" s="6"/>
      <c r="AE181" s="6"/>
      <c r="AF181" s="5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11">
        <f t="shared" si="6"/>
        <v>5</v>
      </c>
      <c r="AZ181" s="42" t="s">
        <v>18</v>
      </c>
      <c r="BA181" s="11"/>
    </row>
    <row r="182" spans="1:53" s="2" customFormat="1" ht="11.25">
      <c r="A182" s="3" t="s">
        <v>206</v>
      </c>
      <c r="B182" s="4" t="s">
        <v>31</v>
      </c>
      <c r="C182" s="4" t="s">
        <v>108</v>
      </c>
      <c r="D182" s="6"/>
      <c r="E182" s="5"/>
      <c r="F182" s="6"/>
      <c r="G182" s="6"/>
      <c r="H182" s="6"/>
      <c r="I182" s="6"/>
      <c r="J182" s="6"/>
      <c r="K182" s="6"/>
      <c r="L182" s="6"/>
      <c r="M182" s="6"/>
      <c r="N182" s="6"/>
      <c r="O182" s="6">
        <v>1</v>
      </c>
      <c r="P182" s="6"/>
      <c r="Q182" s="6"/>
      <c r="R182" s="6"/>
      <c r="S182" s="6"/>
      <c r="T182" s="6"/>
      <c r="U182" s="6"/>
      <c r="V182" s="7"/>
      <c r="W182" s="6"/>
      <c r="X182" s="6"/>
      <c r="Y182" s="6"/>
      <c r="Z182" s="6"/>
      <c r="AA182" s="6"/>
      <c r="AB182" s="6"/>
      <c r="AC182" s="6"/>
      <c r="AD182" s="6"/>
      <c r="AE182" s="6"/>
      <c r="AF182" s="5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>
        <v>5</v>
      </c>
      <c r="AV182" s="6"/>
      <c r="AW182" s="6"/>
      <c r="AX182" s="6"/>
      <c r="AY182" s="11">
        <f t="shared" si="6"/>
        <v>6</v>
      </c>
      <c r="AZ182" s="42" t="s">
        <v>18</v>
      </c>
      <c r="BA182" s="11"/>
    </row>
    <row r="183" spans="1:53" s="2" customFormat="1" ht="11.25">
      <c r="A183" s="3" t="s">
        <v>207</v>
      </c>
      <c r="B183" s="4" t="s">
        <v>31</v>
      </c>
      <c r="C183" s="4" t="s">
        <v>120</v>
      </c>
      <c r="D183" s="6"/>
      <c r="E183" s="5"/>
      <c r="F183" s="6"/>
      <c r="G183" s="6">
        <v>5</v>
      </c>
      <c r="H183" s="6"/>
      <c r="I183" s="6"/>
      <c r="J183" s="6"/>
      <c r="K183" s="6"/>
      <c r="L183" s="6"/>
      <c r="M183" s="6"/>
      <c r="N183" s="6"/>
      <c r="O183" s="6">
        <v>1</v>
      </c>
      <c r="P183" s="6"/>
      <c r="Q183" s="6"/>
      <c r="R183" s="6"/>
      <c r="S183" s="6"/>
      <c r="T183" s="6"/>
      <c r="U183" s="6"/>
      <c r="V183" s="7"/>
      <c r="W183" s="6"/>
      <c r="X183" s="6"/>
      <c r="Y183" s="6"/>
      <c r="Z183" s="6"/>
      <c r="AA183" s="6"/>
      <c r="AB183" s="6"/>
      <c r="AC183" s="6"/>
      <c r="AD183" s="6"/>
      <c r="AE183" s="6"/>
      <c r="AF183" s="5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11">
        <f t="shared" si="6"/>
        <v>6</v>
      </c>
      <c r="AZ183" s="42" t="s">
        <v>18</v>
      </c>
      <c r="BA183" s="11"/>
    </row>
    <row r="184" spans="1:53" s="2" customFormat="1" ht="11.25" hidden="1">
      <c r="A184" s="3"/>
      <c r="B184" s="4" t="s">
        <v>276</v>
      </c>
      <c r="C184" s="4" t="s">
        <v>277</v>
      </c>
      <c r="D184" s="6"/>
      <c r="E184" s="5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7"/>
      <c r="W184" s="6"/>
      <c r="X184" s="6"/>
      <c r="Y184" s="6"/>
      <c r="Z184" s="6"/>
      <c r="AA184" s="6"/>
      <c r="AB184" s="6"/>
      <c r="AC184" s="6"/>
      <c r="AD184" s="6"/>
      <c r="AE184" s="6"/>
      <c r="AF184" s="5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11">
        <f t="shared" si="6"/>
        <v>0</v>
      </c>
      <c r="AZ184" s="42" t="s">
        <v>18</v>
      </c>
      <c r="BA184" s="11"/>
    </row>
    <row r="185" spans="1:53" s="2" customFormat="1" ht="11.25" hidden="1">
      <c r="A185" s="3"/>
      <c r="B185" s="4" t="s">
        <v>276</v>
      </c>
      <c r="C185" s="4" t="s">
        <v>278</v>
      </c>
      <c r="D185" s="6"/>
      <c r="E185" s="5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7"/>
      <c r="W185" s="6"/>
      <c r="X185" s="6"/>
      <c r="Y185" s="6"/>
      <c r="Z185" s="6"/>
      <c r="AA185" s="6"/>
      <c r="AB185" s="6"/>
      <c r="AC185" s="6"/>
      <c r="AD185" s="6"/>
      <c r="AE185" s="6"/>
      <c r="AF185" s="5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11">
        <f t="shared" si="6"/>
        <v>0</v>
      </c>
      <c r="AZ185" s="42" t="s">
        <v>18</v>
      </c>
      <c r="BA185" s="11"/>
    </row>
    <row r="186" spans="1:53" s="2" customFormat="1" ht="11.25" hidden="1">
      <c r="A186" s="3"/>
      <c r="B186" s="4" t="s">
        <v>276</v>
      </c>
      <c r="C186" s="4" t="s">
        <v>44</v>
      </c>
      <c r="D186" s="6"/>
      <c r="E186" s="5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7"/>
      <c r="W186" s="6"/>
      <c r="X186" s="6"/>
      <c r="Y186" s="6"/>
      <c r="Z186" s="6"/>
      <c r="AA186" s="6"/>
      <c r="AB186" s="6"/>
      <c r="AC186" s="6"/>
      <c r="AD186" s="6"/>
      <c r="AE186" s="6"/>
      <c r="AF186" s="5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11">
        <f t="shared" si="6"/>
        <v>0</v>
      </c>
      <c r="AZ186" s="42" t="s">
        <v>18</v>
      </c>
      <c r="BA186" s="11"/>
    </row>
    <row r="187" spans="1:53" s="2" customFormat="1" ht="11.25" hidden="1">
      <c r="A187" s="3"/>
      <c r="B187" s="4" t="s">
        <v>276</v>
      </c>
      <c r="C187" s="4" t="s">
        <v>279</v>
      </c>
      <c r="D187" s="6"/>
      <c r="E187" s="5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7"/>
      <c r="W187" s="6"/>
      <c r="X187" s="6"/>
      <c r="Y187" s="6"/>
      <c r="Z187" s="6"/>
      <c r="AA187" s="6"/>
      <c r="AB187" s="6"/>
      <c r="AC187" s="6"/>
      <c r="AD187" s="6"/>
      <c r="AE187" s="6"/>
      <c r="AF187" s="5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11">
        <f t="shared" si="6"/>
        <v>0</v>
      </c>
      <c r="AZ187" s="42" t="s">
        <v>18</v>
      </c>
      <c r="BA187" s="11"/>
    </row>
    <row r="188" spans="1:53" s="2" customFormat="1" ht="11.25">
      <c r="A188" s="3" t="s">
        <v>208</v>
      </c>
      <c r="B188" s="4" t="s">
        <v>276</v>
      </c>
      <c r="C188" s="4" t="s">
        <v>280</v>
      </c>
      <c r="D188" s="6"/>
      <c r="E188" s="5"/>
      <c r="F188" s="6"/>
      <c r="G188" s="6"/>
      <c r="H188" s="6"/>
      <c r="I188" s="6"/>
      <c r="J188" s="6"/>
      <c r="K188" s="6"/>
      <c r="L188" s="6"/>
      <c r="M188" s="6"/>
      <c r="N188" s="6">
        <v>1</v>
      </c>
      <c r="O188" s="6"/>
      <c r="P188" s="6"/>
      <c r="Q188" s="6"/>
      <c r="R188" s="6"/>
      <c r="S188" s="6"/>
      <c r="T188" s="6"/>
      <c r="U188" s="6"/>
      <c r="V188" s="7"/>
      <c r="W188" s="6"/>
      <c r="X188" s="6"/>
      <c r="Y188" s="6"/>
      <c r="Z188" s="6"/>
      <c r="AA188" s="6"/>
      <c r="AB188" s="6"/>
      <c r="AC188" s="6"/>
      <c r="AD188" s="6"/>
      <c r="AE188" s="6"/>
      <c r="AF188" s="5"/>
      <c r="AG188" s="6"/>
      <c r="AH188" s="6"/>
      <c r="AI188" s="6"/>
      <c r="AJ188" s="6"/>
      <c r="AK188" s="6"/>
      <c r="AL188" s="6"/>
      <c r="AM188" s="6"/>
      <c r="AN188" s="6"/>
      <c r="AO188" s="6">
        <v>10</v>
      </c>
      <c r="AP188" s="6">
        <v>10</v>
      </c>
      <c r="AQ188" s="6"/>
      <c r="AR188" s="6"/>
      <c r="AS188" s="6"/>
      <c r="AT188" s="6"/>
      <c r="AU188" s="6">
        <v>25</v>
      </c>
      <c r="AV188" s="6"/>
      <c r="AW188" s="6"/>
      <c r="AX188" s="6"/>
      <c r="AY188" s="11">
        <f t="shared" si="6"/>
        <v>46</v>
      </c>
      <c r="AZ188" s="42" t="s">
        <v>18</v>
      </c>
      <c r="BA188" s="11"/>
    </row>
    <row r="189" spans="1:53" s="2" customFormat="1" ht="11.25">
      <c r="A189" s="3" t="s">
        <v>209</v>
      </c>
      <c r="B189" s="4" t="s">
        <v>276</v>
      </c>
      <c r="C189" s="4" t="s">
        <v>281</v>
      </c>
      <c r="D189" s="6"/>
      <c r="E189" s="5"/>
      <c r="F189" s="6"/>
      <c r="G189" s="6"/>
      <c r="H189" s="6"/>
      <c r="I189" s="6"/>
      <c r="J189" s="6"/>
      <c r="K189" s="6"/>
      <c r="L189" s="6"/>
      <c r="M189" s="6"/>
      <c r="N189" s="6">
        <v>1</v>
      </c>
      <c r="O189" s="6"/>
      <c r="P189" s="6"/>
      <c r="Q189" s="6"/>
      <c r="R189" s="6"/>
      <c r="S189" s="6"/>
      <c r="T189" s="6"/>
      <c r="U189" s="6"/>
      <c r="V189" s="7"/>
      <c r="W189" s="6"/>
      <c r="X189" s="6"/>
      <c r="Y189" s="6"/>
      <c r="Z189" s="6"/>
      <c r="AA189" s="6"/>
      <c r="AB189" s="6"/>
      <c r="AC189" s="6"/>
      <c r="AD189" s="6"/>
      <c r="AE189" s="6"/>
      <c r="AF189" s="5"/>
      <c r="AG189" s="6"/>
      <c r="AH189" s="6"/>
      <c r="AI189" s="6"/>
      <c r="AJ189" s="6"/>
      <c r="AK189" s="6"/>
      <c r="AL189" s="6"/>
      <c r="AM189" s="6"/>
      <c r="AN189" s="6"/>
      <c r="AO189" s="6">
        <v>5</v>
      </c>
      <c r="AP189" s="6">
        <v>5</v>
      </c>
      <c r="AQ189" s="6"/>
      <c r="AR189" s="6"/>
      <c r="AS189" s="6"/>
      <c r="AT189" s="6"/>
      <c r="AU189" s="6"/>
      <c r="AV189" s="6"/>
      <c r="AW189" s="6"/>
      <c r="AX189" s="6"/>
      <c r="AY189" s="11">
        <f t="shared" si="6"/>
        <v>11</v>
      </c>
      <c r="AZ189" s="42" t="s">
        <v>18</v>
      </c>
      <c r="BA189" s="11"/>
    </row>
    <row r="190" spans="1:53" s="2" customFormat="1" ht="11.25">
      <c r="A190" s="3" t="s">
        <v>210</v>
      </c>
      <c r="B190" s="4" t="s">
        <v>276</v>
      </c>
      <c r="C190" s="4" t="s">
        <v>282</v>
      </c>
      <c r="D190" s="6"/>
      <c r="E190" s="5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7"/>
      <c r="W190" s="6"/>
      <c r="X190" s="6"/>
      <c r="Y190" s="6"/>
      <c r="Z190" s="6"/>
      <c r="AA190" s="6"/>
      <c r="AB190" s="6"/>
      <c r="AC190" s="6"/>
      <c r="AD190" s="6"/>
      <c r="AE190" s="6"/>
      <c r="AF190" s="5"/>
      <c r="AG190" s="6"/>
      <c r="AH190" s="6"/>
      <c r="AI190" s="6"/>
      <c r="AJ190" s="6"/>
      <c r="AK190" s="6"/>
      <c r="AL190" s="6"/>
      <c r="AM190" s="6"/>
      <c r="AN190" s="6"/>
      <c r="AO190" s="6">
        <v>5</v>
      </c>
      <c r="AP190" s="6">
        <v>5</v>
      </c>
      <c r="AQ190" s="6"/>
      <c r="AR190" s="6"/>
      <c r="AS190" s="6"/>
      <c r="AT190" s="6"/>
      <c r="AU190" s="6"/>
      <c r="AV190" s="6"/>
      <c r="AW190" s="6"/>
      <c r="AX190" s="6"/>
      <c r="AY190" s="11">
        <f t="shared" si="6"/>
        <v>10</v>
      </c>
      <c r="AZ190" s="42" t="s">
        <v>18</v>
      </c>
      <c r="BA190" s="11"/>
    </row>
    <row r="191" spans="1:53" s="2" customFormat="1" ht="11.25">
      <c r="A191" s="3" t="s">
        <v>211</v>
      </c>
      <c r="B191" s="4" t="s">
        <v>276</v>
      </c>
      <c r="C191" s="4" t="s">
        <v>283</v>
      </c>
      <c r="D191" s="6"/>
      <c r="E191" s="5"/>
      <c r="F191" s="6"/>
      <c r="G191" s="6"/>
      <c r="H191" s="6"/>
      <c r="I191" s="6"/>
      <c r="J191" s="6"/>
      <c r="K191" s="6"/>
      <c r="L191" s="6"/>
      <c r="M191" s="6"/>
      <c r="N191" s="6">
        <v>1</v>
      </c>
      <c r="O191" s="6"/>
      <c r="P191" s="6"/>
      <c r="Q191" s="6"/>
      <c r="R191" s="6"/>
      <c r="S191" s="6"/>
      <c r="T191" s="6"/>
      <c r="U191" s="6"/>
      <c r="V191" s="7"/>
      <c r="W191" s="6"/>
      <c r="X191" s="6"/>
      <c r="Y191" s="6"/>
      <c r="Z191" s="6"/>
      <c r="AA191" s="6"/>
      <c r="AB191" s="6"/>
      <c r="AC191" s="6"/>
      <c r="AD191" s="6"/>
      <c r="AE191" s="6"/>
      <c r="AF191" s="5"/>
      <c r="AG191" s="6"/>
      <c r="AH191" s="6"/>
      <c r="AI191" s="6"/>
      <c r="AJ191" s="6"/>
      <c r="AK191" s="6"/>
      <c r="AL191" s="6"/>
      <c r="AM191" s="6"/>
      <c r="AN191" s="6"/>
      <c r="AO191" s="6">
        <v>5</v>
      </c>
      <c r="AP191" s="6">
        <v>5</v>
      </c>
      <c r="AQ191" s="6"/>
      <c r="AR191" s="6"/>
      <c r="AS191" s="6"/>
      <c r="AT191" s="6"/>
      <c r="AU191" s="6"/>
      <c r="AV191" s="6"/>
      <c r="AW191" s="6"/>
      <c r="AX191" s="6"/>
      <c r="AY191" s="11">
        <f t="shared" si="6"/>
        <v>11</v>
      </c>
      <c r="AZ191" s="42" t="s">
        <v>18</v>
      </c>
      <c r="BA191" s="11"/>
    </row>
    <row r="192" spans="1:53" s="2" customFormat="1" ht="11.25">
      <c r="A192" s="3" t="s">
        <v>212</v>
      </c>
      <c r="B192" s="4" t="s">
        <v>276</v>
      </c>
      <c r="C192" s="4" t="s">
        <v>284</v>
      </c>
      <c r="D192" s="6"/>
      <c r="E192" s="5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7"/>
      <c r="W192" s="6"/>
      <c r="X192" s="6"/>
      <c r="Y192" s="6"/>
      <c r="Z192" s="6"/>
      <c r="AA192" s="6"/>
      <c r="AB192" s="6"/>
      <c r="AC192" s="6"/>
      <c r="AD192" s="6"/>
      <c r="AE192" s="6"/>
      <c r="AF192" s="5"/>
      <c r="AG192" s="6"/>
      <c r="AH192" s="6"/>
      <c r="AI192" s="6"/>
      <c r="AJ192" s="6">
        <v>10</v>
      </c>
      <c r="AK192" s="6">
        <v>10</v>
      </c>
      <c r="AL192" s="6">
        <v>10</v>
      </c>
      <c r="AM192" s="6">
        <v>10</v>
      </c>
      <c r="AN192" s="6"/>
      <c r="AO192" s="6">
        <v>5</v>
      </c>
      <c r="AP192" s="6">
        <v>5</v>
      </c>
      <c r="AQ192" s="6"/>
      <c r="AR192" s="6"/>
      <c r="AS192" s="6"/>
      <c r="AT192" s="6"/>
      <c r="AU192" s="6"/>
      <c r="AV192" s="6"/>
      <c r="AW192" s="6"/>
      <c r="AX192" s="6"/>
      <c r="AY192" s="11">
        <f aca="true" t="shared" si="7" ref="AY192:AY252">SUM(D192:AX192)</f>
        <v>50</v>
      </c>
      <c r="AZ192" s="42" t="s">
        <v>18</v>
      </c>
      <c r="BA192" s="11"/>
    </row>
    <row r="193" spans="1:53" s="2" customFormat="1" ht="11.25">
      <c r="A193" s="3" t="s">
        <v>213</v>
      </c>
      <c r="B193" s="4" t="s">
        <v>110</v>
      </c>
      <c r="C193" s="4" t="s">
        <v>109</v>
      </c>
      <c r="D193" s="6"/>
      <c r="E193" s="5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>
        <v>1</v>
      </c>
      <c r="V193" s="7"/>
      <c r="W193" s="6"/>
      <c r="X193" s="6"/>
      <c r="Y193" s="6"/>
      <c r="Z193" s="6"/>
      <c r="AA193" s="6"/>
      <c r="AB193" s="6"/>
      <c r="AC193" s="6"/>
      <c r="AD193" s="6"/>
      <c r="AE193" s="6"/>
      <c r="AF193" s="5"/>
      <c r="AG193" s="6"/>
      <c r="AH193" s="6"/>
      <c r="AI193" s="6"/>
      <c r="AJ193" s="6"/>
      <c r="AK193" s="6"/>
      <c r="AL193" s="6"/>
      <c r="AM193" s="6"/>
      <c r="AN193" s="6"/>
      <c r="AO193" s="6">
        <v>2</v>
      </c>
      <c r="AP193" s="6">
        <v>2</v>
      </c>
      <c r="AQ193" s="6"/>
      <c r="AR193" s="6"/>
      <c r="AS193" s="6"/>
      <c r="AT193" s="6"/>
      <c r="AU193" s="6"/>
      <c r="AV193" s="6"/>
      <c r="AW193" s="6"/>
      <c r="AX193" s="6"/>
      <c r="AY193" s="11">
        <f t="shared" si="7"/>
        <v>5</v>
      </c>
      <c r="AZ193" s="42" t="s">
        <v>18</v>
      </c>
      <c r="BA193" s="11"/>
    </row>
    <row r="194" spans="1:53" s="2" customFormat="1" ht="11.25">
      <c r="A194" s="3" t="s">
        <v>214</v>
      </c>
      <c r="B194" s="4" t="s">
        <v>113</v>
      </c>
      <c r="C194" s="4" t="s">
        <v>114</v>
      </c>
      <c r="D194" s="6"/>
      <c r="E194" s="5"/>
      <c r="F194" s="6"/>
      <c r="G194" s="6">
        <v>10</v>
      </c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7"/>
      <c r="W194" s="6"/>
      <c r="X194" s="6"/>
      <c r="Y194" s="6"/>
      <c r="Z194" s="6"/>
      <c r="AA194" s="6"/>
      <c r="AB194" s="6"/>
      <c r="AC194" s="6"/>
      <c r="AD194" s="6"/>
      <c r="AE194" s="6"/>
      <c r="AF194" s="5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11">
        <f t="shared" si="7"/>
        <v>10</v>
      </c>
      <c r="AZ194" s="42" t="s">
        <v>18</v>
      </c>
      <c r="BA194" s="11"/>
    </row>
    <row r="195" spans="1:53" s="2" customFormat="1" ht="11.25">
      <c r="A195" s="3" t="s">
        <v>215</v>
      </c>
      <c r="B195" s="4" t="s">
        <v>113</v>
      </c>
      <c r="C195" s="4" t="s">
        <v>115</v>
      </c>
      <c r="D195" s="6"/>
      <c r="E195" s="5"/>
      <c r="F195" s="6"/>
      <c r="G195" s="6">
        <v>10</v>
      </c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7"/>
      <c r="W195" s="6"/>
      <c r="X195" s="6"/>
      <c r="Y195" s="6"/>
      <c r="Z195" s="6"/>
      <c r="AA195" s="6"/>
      <c r="AB195" s="6"/>
      <c r="AC195" s="6"/>
      <c r="AD195" s="6"/>
      <c r="AE195" s="6"/>
      <c r="AF195" s="5"/>
      <c r="AG195" s="6"/>
      <c r="AH195" s="6"/>
      <c r="AI195" s="6"/>
      <c r="AJ195" s="6"/>
      <c r="AK195" s="4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11">
        <f t="shared" si="7"/>
        <v>10</v>
      </c>
      <c r="AZ195" s="42" t="s">
        <v>18</v>
      </c>
      <c r="BA195" s="11"/>
    </row>
    <row r="196" spans="1:53" s="2" customFormat="1" ht="11.25">
      <c r="A196" s="3" t="s">
        <v>216</v>
      </c>
      <c r="B196" s="4" t="s">
        <v>113</v>
      </c>
      <c r="C196" s="4" t="s">
        <v>116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7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>
        <v>20</v>
      </c>
      <c r="AP196" s="6">
        <v>20</v>
      </c>
      <c r="AQ196" s="6"/>
      <c r="AR196" s="6"/>
      <c r="AS196" s="6"/>
      <c r="AT196" s="6"/>
      <c r="AU196" s="6"/>
      <c r="AV196" s="6"/>
      <c r="AW196" s="6"/>
      <c r="AX196" s="6"/>
      <c r="AY196" s="11">
        <f t="shared" si="7"/>
        <v>40</v>
      </c>
      <c r="AZ196" s="42" t="s">
        <v>24</v>
      </c>
      <c r="BA196" s="11"/>
    </row>
    <row r="197" spans="1:53" s="4" customFormat="1" ht="11.25" hidden="1">
      <c r="A197" s="3"/>
      <c r="B197" s="4" t="str">
        <f>"RAKTÁRI KÉSZLETNYILVÁNTARTÓ"</f>
        <v>RAKTÁRI KÉSZLETNYILVÁNTARTÓ</v>
      </c>
      <c r="C197" s="4" t="str">
        <f>"B.12-152"</f>
        <v>B.12-152</v>
      </c>
      <c r="D197" s="6"/>
      <c r="E197" s="5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7"/>
      <c r="W197" s="6"/>
      <c r="X197" s="6"/>
      <c r="Y197" s="6"/>
      <c r="Z197" s="6"/>
      <c r="AA197" s="6"/>
      <c r="AB197" s="6"/>
      <c r="AC197" s="6"/>
      <c r="AD197" s="6"/>
      <c r="AE197" s="6"/>
      <c r="AF197" s="5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11">
        <f t="shared" si="7"/>
        <v>0</v>
      </c>
      <c r="AZ197" s="41"/>
      <c r="BA197" s="6"/>
    </row>
    <row r="198" spans="1:53" s="4" customFormat="1" ht="11.25" hidden="1">
      <c r="A198" s="3"/>
      <c r="B198" s="4" t="s">
        <v>2</v>
      </c>
      <c r="C198" s="4" t="s">
        <v>5</v>
      </c>
      <c r="D198" s="6"/>
      <c r="E198" s="5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7"/>
      <c r="W198" s="6"/>
      <c r="X198" s="6"/>
      <c r="Y198" s="6"/>
      <c r="Z198" s="6"/>
      <c r="AA198" s="6"/>
      <c r="AB198" s="6"/>
      <c r="AC198" s="6"/>
      <c r="AD198" s="6"/>
      <c r="AE198" s="6"/>
      <c r="AF198" s="5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11">
        <f t="shared" si="7"/>
        <v>0</v>
      </c>
      <c r="AZ198" s="42" t="s">
        <v>18</v>
      </c>
      <c r="BA198" s="6"/>
    </row>
    <row r="199" spans="1:53" s="4" customFormat="1" ht="11.25" hidden="1">
      <c r="A199" s="3"/>
      <c r="B199" s="4" t="s">
        <v>70</v>
      </c>
      <c r="C199" s="4" t="str">
        <f>"PENTEL"</f>
        <v>PENTEL</v>
      </c>
      <c r="D199" s="6"/>
      <c r="E199" s="5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7"/>
      <c r="W199" s="6"/>
      <c r="X199" s="6"/>
      <c r="Y199" s="6"/>
      <c r="Z199" s="6"/>
      <c r="AA199" s="6"/>
      <c r="AB199" s="6"/>
      <c r="AC199" s="6"/>
      <c r="AD199" s="6"/>
      <c r="AE199" s="6"/>
      <c r="AF199" s="5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11">
        <f t="shared" si="7"/>
        <v>0</v>
      </c>
      <c r="AZ199" s="42" t="s">
        <v>18</v>
      </c>
      <c r="BA199" s="6"/>
    </row>
    <row r="200" spans="1:55" s="4" customFormat="1" ht="11.25" hidden="1">
      <c r="A200" s="3"/>
      <c r="B200" s="4" t="s">
        <v>70</v>
      </c>
      <c r="C200" s="4" t="str">
        <f>"ULTRA FINE 3"</f>
        <v>ULTRA FINE 3</v>
      </c>
      <c r="D200" s="6"/>
      <c r="E200" s="5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7"/>
      <c r="W200" s="6"/>
      <c r="X200" s="6"/>
      <c r="Y200" s="6"/>
      <c r="Z200" s="6"/>
      <c r="AA200" s="6"/>
      <c r="AB200" s="6"/>
      <c r="AC200" s="6"/>
      <c r="AD200" s="6"/>
      <c r="AE200" s="6"/>
      <c r="AF200" s="5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11">
        <f t="shared" si="7"/>
        <v>0</v>
      </c>
      <c r="AZ200" s="42" t="s">
        <v>18</v>
      </c>
      <c r="BA200" s="6"/>
      <c r="BC200" s="2"/>
    </row>
    <row r="201" spans="1:53" s="2" customFormat="1" ht="11.25" hidden="1">
      <c r="A201" s="3"/>
      <c r="B201" s="4" t="s">
        <v>70</v>
      </c>
      <c r="C201" s="4" t="str">
        <f>"18X25 MM"</f>
        <v>18X25 MM</v>
      </c>
      <c r="D201" s="6"/>
      <c r="E201" s="5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7"/>
      <c r="W201" s="6"/>
      <c r="X201" s="6"/>
      <c r="Y201" s="6"/>
      <c r="Z201" s="6"/>
      <c r="AA201" s="6"/>
      <c r="AB201" s="6"/>
      <c r="AC201" s="6"/>
      <c r="AD201" s="6"/>
      <c r="AE201" s="6"/>
      <c r="AF201" s="5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11">
        <f t="shared" si="7"/>
        <v>0</v>
      </c>
      <c r="AZ201" s="42" t="s">
        <v>18</v>
      </c>
      <c r="BA201" s="11"/>
    </row>
    <row r="202" spans="1:55" s="2" customFormat="1" ht="11.25" hidden="1">
      <c r="A202" s="3"/>
      <c r="B202" s="4" t="s">
        <v>70</v>
      </c>
      <c r="C202" s="4" t="str">
        <f>"20X32 MM"</f>
        <v>20X32 MM</v>
      </c>
      <c r="D202" s="6"/>
      <c r="E202" s="5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7"/>
      <c r="W202" s="6"/>
      <c r="X202" s="6"/>
      <c r="Y202" s="6"/>
      <c r="Z202" s="6"/>
      <c r="AA202" s="6"/>
      <c r="AB202" s="6"/>
      <c r="AC202" s="6"/>
      <c r="AD202" s="6"/>
      <c r="AE202" s="6"/>
      <c r="AF202" s="5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11">
        <f t="shared" si="7"/>
        <v>0</v>
      </c>
      <c r="AZ202" s="42" t="s">
        <v>18</v>
      </c>
      <c r="BA202" s="11"/>
      <c r="BC202" s="4"/>
    </row>
    <row r="203" spans="1:55" s="4" customFormat="1" ht="11.25" hidden="1">
      <c r="A203" s="3"/>
      <c r="B203" s="4" t="s">
        <v>70</v>
      </c>
      <c r="C203" s="4" t="str">
        <f>"PÁTRIA"</f>
        <v>PÁTRIA</v>
      </c>
      <c r="D203" s="6"/>
      <c r="E203" s="5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7"/>
      <c r="W203" s="6"/>
      <c r="X203" s="6"/>
      <c r="Y203" s="6"/>
      <c r="Z203" s="6"/>
      <c r="AA203" s="6"/>
      <c r="AB203" s="6"/>
      <c r="AC203" s="6"/>
      <c r="AD203" s="6"/>
      <c r="AE203" s="6"/>
      <c r="AF203" s="5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11">
        <f t="shared" si="7"/>
        <v>0</v>
      </c>
      <c r="AZ203" s="42" t="s">
        <v>18</v>
      </c>
      <c r="BA203" s="6"/>
      <c r="BC203" s="2"/>
    </row>
    <row r="204" spans="1:53" s="2" customFormat="1" ht="11.25" hidden="1">
      <c r="A204" s="3"/>
      <c r="B204" s="4" t="s">
        <v>70</v>
      </c>
      <c r="C204" s="4"/>
      <c r="D204" s="6"/>
      <c r="E204" s="5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7"/>
      <c r="W204" s="6"/>
      <c r="X204" s="6"/>
      <c r="Y204" s="6"/>
      <c r="Z204" s="6"/>
      <c r="AA204" s="6"/>
      <c r="AB204" s="6"/>
      <c r="AC204" s="6"/>
      <c r="AD204" s="6"/>
      <c r="AE204" s="6"/>
      <c r="AF204" s="5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11">
        <f t="shared" si="7"/>
        <v>0</v>
      </c>
      <c r="AZ204" s="42" t="s">
        <v>18</v>
      </c>
      <c r="BA204" s="11"/>
    </row>
    <row r="205" spans="1:53" s="2" customFormat="1" ht="11.25">
      <c r="A205" s="3" t="s">
        <v>217</v>
      </c>
      <c r="B205" s="4" t="s">
        <v>270</v>
      </c>
      <c r="C205" s="4" t="s">
        <v>271</v>
      </c>
      <c r="D205" s="6">
        <v>1</v>
      </c>
      <c r="E205" s="5">
        <v>1</v>
      </c>
      <c r="F205" s="6"/>
      <c r="G205" s="6"/>
      <c r="H205" s="6"/>
      <c r="I205" s="6"/>
      <c r="J205" s="6">
        <v>5</v>
      </c>
      <c r="K205" s="6"/>
      <c r="L205" s="6">
        <v>6</v>
      </c>
      <c r="M205" s="6"/>
      <c r="N205" s="6"/>
      <c r="O205" s="6"/>
      <c r="P205" s="6"/>
      <c r="Q205" s="6"/>
      <c r="R205" s="6"/>
      <c r="S205" s="6"/>
      <c r="T205" s="6">
        <v>2</v>
      </c>
      <c r="U205" s="6"/>
      <c r="V205" s="7"/>
      <c r="W205" s="6"/>
      <c r="X205" s="6"/>
      <c r="Y205" s="6"/>
      <c r="Z205" s="6"/>
      <c r="AA205" s="6"/>
      <c r="AB205" s="6"/>
      <c r="AC205" s="6"/>
      <c r="AD205" s="6"/>
      <c r="AE205" s="6"/>
      <c r="AF205" s="5"/>
      <c r="AG205" s="6"/>
      <c r="AH205" s="6"/>
      <c r="AI205" s="6"/>
      <c r="AJ205" s="6"/>
      <c r="AK205" s="6"/>
      <c r="AL205" s="6"/>
      <c r="AM205" s="6"/>
      <c r="AN205" s="6"/>
      <c r="AO205" s="6">
        <v>5</v>
      </c>
      <c r="AP205" s="6">
        <v>5</v>
      </c>
      <c r="AQ205" s="6"/>
      <c r="AR205" s="6"/>
      <c r="AS205" s="6"/>
      <c r="AT205" s="6"/>
      <c r="AU205" s="6"/>
      <c r="AV205" s="6"/>
      <c r="AW205" s="6"/>
      <c r="AX205" s="6"/>
      <c r="AY205" s="11">
        <f t="shared" si="7"/>
        <v>25</v>
      </c>
      <c r="AZ205" s="42" t="s">
        <v>19</v>
      </c>
      <c r="BA205" s="11"/>
    </row>
    <row r="206" spans="1:53" s="2" customFormat="1" ht="11.25">
      <c r="A206" s="3" t="s">
        <v>218</v>
      </c>
      <c r="B206" s="4" t="s">
        <v>140</v>
      </c>
      <c r="C206" s="4" t="s">
        <v>119</v>
      </c>
      <c r="D206" s="6"/>
      <c r="E206" s="5"/>
      <c r="F206" s="6"/>
      <c r="G206" s="6">
        <v>3</v>
      </c>
      <c r="H206" s="6"/>
      <c r="I206" s="6"/>
      <c r="J206" s="6"/>
      <c r="K206" s="6"/>
      <c r="L206" s="6"/>
      <c r="M206" s="6"/>
      <c r="N206" s="6"/>
      <c r="O206" s="6"/>
      <c r="P206" s="6"/>
      <c r="Q206" s="6">
        <v>1</v>
      </c>
      <c r="R206" s="6"/>
      <c r="S206" s="6"/>
      <c r="T206" s="6"/>
      <c r="U206" s="6">
        <v>1</v>
      </c>
      <c r="V206" s="7"/>
      <c r="W206" s="6"/>
      <c r="X206" s="6"/>
      <c r="Y206" s="6"/>
      <c r="Z206" s="6"/>
      <c r="AA206" s="6"/>
      <c r="AB206" s="6"/>
      <c r="AC206" s="6"/>
      <c r="AD206" s="6"/>
      <c r="AE206" s="6"/>
      <c r="AF206" s="5"/>
      <c r="AG206" s="6"/>
      <c r="AH206" s="6"/>
      <c r="AI206" s="6"/>
      <c r="AJ206" s="6"/>
      <c r="AK206" s="6"/>
      <c r="AL206" s="6"/>
      <c r="AM206" s="6"/>
      <c r="AN206" s="6"/>
      <c r="AO206" s="6">
        <v>5</v>
      </c>
      <c r="AP206" s="6">
        <v>5</v>
      </c>
      <c r="AQ206" s="6"/>
      <c r="AR206" s="6"/>
      <c r="AS206" s="6"/>
      <c r="AT206" s="6"/>
      <c r="AU206" s="6"/>
      <c r="AV206" s="6"/>
      <c r="AW206" s="6"/>
      <c r="AX206" s="6"/>
      <c r="AY206" s="11">
        <f t="shared" si="7"/>
        <v>15</v>
      </c>
      <c r="AZ206" s="42" t="s">
        <v>18</v>
      </c>
      <c r="BA206" s="11"/>
    </row>
    <row r="207" spans="1:53" s="2" customFormat="1" ht="11.25">
      <c r="A207" s="3" t="s">
        <v>219</v>
      </c>
      <c r="B207" s="4" t="s">
        <v>118</v>
      </c>
      <c r="C207" s="4" t="s">
        <v>102</v>
      </c>
      <c r="D207" s="6"/>
      <c r="E207" s="5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7"/>
      <c r="W207" s="6"/>
      <c r="X207" s="6"/>
      <c r="Y207" s="6"/>
      <c r="Z207" s="6"/>
      <c r="AA207" s="6"/>
      <c r="AB207" s="6"/>
      <c r="AC207" s="6"/>
      <c r="AD207" s="6"/>
      <c r="AE207" s="6"/>
      <c r="AF207" s="5"/>
      <c r="AG207" s="6"/>
      <c r="AH207" s="6"/>
      <c r="AI207" s="6"/>
      <c r="AJ207" s="6"/>
      <c r="AK207" s="6"/>
      <c r="AL207" s="6"/>
      <c r="AM207" s="6"/>
      <c r="AN207" s="6"/>
      <c r="AO207" s="6">
        <v>1</v>
      </c>
      <c r="AP207" s="6"/>
      <c r="AQ207" s="6"/>
      <c r="AR207" s="6"/>
      <c r="AS207" s="6"/>
      <c r="AT207" s="6"/>
      <c r="AU207" s="6"/>
      <c r="AV207" s="6"/>
      <c r="AW207" s="6"/>
      <c r="AX207" s="6"/>
      <c r="AY207" s="11">
        <f t="shared" si="7"/>
        <v>1</v>
      </c>
      <c r="AZ207" s="42" t="s">
        <v>18</v>
      </c>
      <c r="BA207" s="11"/>
    </row>
    <row r="208" spans="1:53" s="2" customFormat="1" ht="11.25">
      <c r="A208" s="3" t="s">
        <v>220</v>
      </c>
      <c r="B208" s="4" t="s">
        <v>300</v>
      </c>
      <c r="C208" s="4"/>
      <c r="D208" s="6"/>
      <c r="E208" s="5"/>
      <c r="F208" s="6"/>
      <c r="G208" s="6"/>
      <c r="H208" s="6"/>
      <c r="I208" s="6"/>
      <c r="J208" s="6">
        <v>1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7"/>
      <c r="W208" s="6"/>
      <c r="X208" s="6"/>
      <c r="Y208" s="6"/>
      <c r="Z208" s="6"/>
      <c r="AA208" s="6"/>
      <c r="AB208" s="6"/>
      <c r="AC208" s="6"/>
      <c r="AD208" s="6"/>
      <c r="AE208" s="6"/>
      <c r="AF208" s="5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11">
        <f t="shared" si="7"/>
        <v>1</v>
      </c>
      <c r="AZ208" s="42" t="s">
        <v>18</v>
      </c>
      <c r="BA208" s="11"/>
    </row>
    <row r="209" spans="1:53" s="2" customFormat="1" ht="11.25">
      <c r="A209" s="3" t="s">
        <v>221</v>
      </c>
      <c r="B209" s="4" t="s">
        <v>70</v>
      </c>
      <c r="C209" s="4" t="s">
        <v>81</v>
      </c>
      <c r="D209" s="6"/>
      <c r="E209" s="5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7"/>
      <c r="W209" s="6"/>
      <c r="X209" s="6"/>
      <c r="Y209" s="6"/>
      <c r="Z209" s="6"/>
      <c r="AA209" s="6"/>
      <c r="AB209" s="6"/>
      <c r="AC209" s="6"/>
      <c r="AD209" s="6"/>
      <c r="AE209" s="6"/>
      <c r="AF209" s="5"/>
      <c r="AG209" s="6"/>
      <c r="AH209" s="6"/>
      <c r="AI209" s="6"/>
      <c r="AJ209" s="6"/>
      <c r="AK209" s="6"/>
      <c r="AL209" s="6"/>
      <c r="AM209" s="6"/>
      <c r="AN209" s="6"/>
      <c r="AO209" s="6">
        <v>1</v>
      </c>
      <c r="AP209" s="6">
        <v>1</v>
      </c>
      <c r="AQ209" s="6"/>
      <c r="AR209" s="6"/>
      <c r="AS209" s="6"/>
      <c r="AT209" s="6"/>
      <c r="AU209" s="6"/>
      <c r="AV209" s="6">
        <v>1</v>
      </c>
      <c r="AW209" s="6"/>
      <c r="AX209" s="6"/>
      <c r="AY209" s="11">
        <f t="shared" si="7"/>
        <v>3</v>
      </c>
      <c r="AZ209" s="42" t="s">
        <v>18</v>
      </c>
      <c r="BA209" s="11"/>
    </row>
    <row r="210" spans="1:53" s="4" customFormat="1" ht="11.25" hidden="1">
      <c r="A210" s="3"/>
      <c r="B210" s="2" t="s">
        <v>57</v>
      </c>
      <c r="C210" s="2" t="s">
        <v>58</v>
      </c>
      <c r="D210" s="6"/>
      <c r="E210" s="5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7"/>
      <c r="W210" s="6"/>
      <c r="X210" s="6"/>
      <c r="Y210" s="6"/>
      <c r="Z210" s="6"/>
      <c r="AA210" s="6"/>
      <c r="AB210" s="6"/>
      <c r="AC210" s="6"/>
      <c r="AD210" s="6"/>
      <c r="AE210" s="6"/>
      <c r="AF210" s="5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11">
        <f t="shared" si="7"/>
        <v>0</v>
      </c>
      <c r="AZ210" s="42" t="s">
        <v>18</v>
      </c>
      <c r="BA210" s="6"/>
    </row>
    <row r="211" spans="1:53" s="4" customFormat="1" ht="11.25" hidden="1">
      <c r="A211" s="3"/>
      <c r="B211" s="2" t="s">
        <v>57</v>
      </c>
      <c r="C211" s="2" t="s">
        <v>58</v>
      </c>
      <c r="D211" s="6"/>
      <c r="E211" s="5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7"/>
      <c r="W211" s="6"/>
      <c r="X211" s="6"/>
      <c r="Y211" s="6"/>
      <c r="Z211" s="6"/>
      <c r="AA211" s="6"/>
      <c r="AB211" s="6"/>
      <c r="AC211" s="6"/>
      <c r="AD211" s="6"/>
      <c r="AE211" s="6"/>
      <c r="AF211" s="5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11">
        <f t="shared" si="7"/>
        <v>0</v>
      </c>
      <c r="AZ211" s="42" t="s">
        <v>18</v>
      </c>
      <c r="BA211" s="6"/>
    </row>
    <row r="212" spans="1:55" s="4" customFormat="1" ht="11.25" hidden="1">
      <c r="A212" s="3"/>
      <c r="B212" s="2" t="s">
        <v>57</v>
      </c>
      <c r="C212" s="2" t="s">
        <v>58</v>
      </c>
      <c r="D212" s="6"/>
      <c r="E212" s="5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7"/>
      <c r="W212" s="6"/>
      <c r="X212" s="6"/>
      <c r="Y212" s="6"/>
      <c r="Z212" s="6"/>
      <c r="AA212" s="6"/>
      <c r="AB212" s="6"/>
      <c r="AC212" s="6"/>
      <c r="AD212" s="6"/>
      <c r="AE212" s="6"/>
      <c r="AF212" s="5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11">
        <f t="shared" si="7"/>
        <v>0</v>
      </c>
      <c r="AZ212" s="42" t="s">
        <v>18</v>
      </c>
      <c r="BA212" s="6"/>
      <c r="BC212" s="2"/>
    </row>
    <row r="213" spans="1:55" s="2" customFormat="1" ht="11.25" hidden="1">
      <c r="A213" s="3"/>
      <c r="B213" s="2" t="s">
        <v>57</v>
      </c>
      <c r="C213" s="2" t="s">
        <v>58</v>
      </c>
      <c r="D213" s="6"/>
      <c r="E213" s="5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7"/>
      <c r="W213" s="6"/>
      <c r="X213" s="6"/>
      <c r="Y213" s="6"/>
      <c r="Z213" s="6"/>
      <c r="AA213" s="6"/>
      <c r="AB213" s="6"/>
      <c r="AC213" s="6"/>
      <c r="AD213" s="6"/>
      <c r="AE213" s="6"/>
      <c r="AF213" s="5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11">
        <f t="shared" si="7"/>
        <v>0</v>
      </c>
      <c r="AZ213" s="42" t="s">
        <v>18</v>
      </c>
      <c r="BA213" s="11"/>
      <c r="BC213" s="4"/>
    </row>
    <row r="214" spans="1:55" s="2" customFormat="1" ht="11.25">
      <c r="A214" s="3" t="s">
        <v>222</v>
      </c>
      <c r="B214" s="2" t="s">
        <v>60</v>
      </c>
      <c r="C214" s="2" t="s">
        <v>59</v>
      </c>
      <c r="D214" s="5"/>
      <c r="E214" s="5"/>
      <c r="F214" s="5"/>
      <c r="G214" s="5">
        <v>2</v>
      </c>
      <c r="H214" s="5"/>
      <c r="I214" s="5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7"/>
      <c r="W214" s="6"/>
      <c r="X214" s="6"/>
      <c r="Y214" s="6"/>
      <c r="Z214" s="6"/>
      <c r="AA214" s="6"/>
      <c r="AB214" s="6"/>
      <c r="AC214" s="6"/>
      <c r="AD214" s="6"/>
      <c r="AE214" s="6"/>
      <c r="AF214" s="5"/>
      <c r="AG214" s="6"/>
      <c r="AH214" s="6"/>
      <c r="AI214" s="6"/>
      <c r="AJ214" s="6"/>
      <c r="AK214" s="5"/>
      <c r="AL214" s="6"/>
      <c r="AM214" s="6"/>
      <c r="AN214" s="6"/>
      <c r="AO214" s="6">
        <v>2</v>
      </c>
      <c r="AP214" s="6">
        <v>2</v>
      </c>
      <c r="AQ214" s="6"/>
      <c r="AR214" s="6"/>
      <c r="AS214" s="6"/>
      <c r="AT214" s="6"/>
      <c r="AU214" s="6"/>
      <c r="AV214" s="6"/>
      <c r="AW214" s="6"/>
      <c r="AX214" s="6"/>
      <c r="AY214" s="11">
        <f t="shared" si="7"/>
        <v>6</v>
      </c>
      <c r="AZ214" s="42" t="s">
        <v>18</v>
      </c>
      <c r="BA214" s="11"/>
      <c r="BC214" s="4"/>
    </row>
    <row r="215" spans="1:55" s="2" customFormat="1" ht="11.25">
      <c r="A215" s="3" t="s">
        <v>223</v>
      </c>
      <c r="B215" s="2" t="s">
        <v>60</v>
      </c>
      <c r="C215" s="2" t="s">
        <v>132</v>
      </c>
      <c r="D215" s="6"/>
      <c r="E215" s="5"/>
      <c r="F215" s="6"/>
      <c r="G215" s="6"/>
      <c r="H215" s="6"/>
      <c r="I215" s="6"/>
      <c r="J215" s="6">
        <v>5</v>
      </c>
      <c r="K215" s="6"/>
      <c r="L215" s="6"/>
      <c r="M215" s="6"/>
      <c r="N215" s="6"/>
      <c r="O215" s="6">
        <v>10</v>
      </c>
      <c r="P215" s="6"/>
      <c r="Q215" s="6"/>
      <c r="R215" s="6"/>
      <c r="S215" s="6"/>
      <c r="T215" s="6"/>
      <c r="U215" s="6"/>
      <c r="V215" s="7"/>
      <c r="W215" s="6"/>
      <c r="X215" s="6"/>
      <c r="Y215" s="6"/>
      <c r="Z215" s="6"/>
      <c r="AA215" s="6"/>
      <c r="AB215" s="6"/>
      <c r="AC215" s="6"/>
      <c r="AD215" s="6"/>
      <c r="AE215" s="6"/>
      <c r="AF215" s="5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11">
        <f t="shared" si="7"/>
        <v>15</v>
      </c>
      <c r="AZ215" s="42" t="s">
        <v>18</v>
      </c>
      <c r="BA215" s="11"/>
      <c r="BC215" s="4"/>
    </row>
    <row r="216" spans="1:53" s="2" customFormat="1" ht="11.25">
      <c r="A216" s="3" t="s">
        <v>224</v>
      </c>
      <c r="B216" s="2" t="s">
        <v>60</v>
      </c>
      <c r="C216" s="2" t="s">
        <v>133</v>
      </c>
      <c r="D216" s="6"/>
      <c r="E216" s="5"/>
      <c r="F216" s="6"/>
      <c r="G216" s="6">
        <v>3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7"/>
      <c r="W216" s="6"/>
      <c r="X216" s="6"/>
      <c r="Y216" s="6"/>
      <c r="Z216" s="6"/>
      <c r="AA216" s="6"/>
      <c r="AB216" s="6"/>
      <c r="AC216" s="6"/>
      <c r="AD216" s="6"/>
      <c r="AE216" s="6"/>
      <c r="AF216" s="5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11">
        <f t="shared" si="7"/>
        <v>3</v>
      </c>
      <c r="AZ216" s="42" t="s">
        <v>18</v>
      </c>
      <c r="BA216" s="11"/>
    </row>
    <row r="217" spans="1:55" s="4" customFormat="1" ht="11.25">
      <c r="A217" s="3" t="s">
        <v>225</v>
      </c>
      <c r="B217" s="2" t="s">
        <v>129</v>
      </c>
      <c r="C217" s="2" t="s">
        <v>130</v>
      </c>
      <c r="D217" s="6">
        <v>2</v>
      </c>
      <c r="E217" s="5"/>
      <c r="F217" s="6"/>
      <c r="G217" s="6">
        <v>2</v>
      </c>
      <c r="H217" s="6"/>
      <c r="I217" s="6"/>
      <c r="J217" s="6">
        <v>1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7"/>
      <c r="W217" s="6"/>
      <c r="X217" s="6"/>
      <c r="Y217" s="6"/>
      <c r="Z217" s="6"/>
      <c r="AA217" s="6"/>
      <c r="AB217" s="6"/>
      <c r="AC217" s="6"/>
      <c r="AD217" s="6"/>
      <c r="AE217" s="6"/>
      <c r="AF217" s="5"/>
      <c r="AG217" s="6"/>
      <c r="AH217" s="6"/>
      <c r="AI217" s="6"/>
      <c r="AJ217" s="6"/>
      <c r="AK217" s="6"/>
      <c r="AL217" s="6"/>
      <c r="AM217" s="6">
        <v>1</v>
      </c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11">
        <f t="shared" si="7"/>
        <v>6</v>
      </c>
      <c r="AZ217" s="42" t="s">
        <v>18</v>
      </c>
      <c r="BA217" s="6"/>
      <c r="BC217" s="2"/>
    </row>
    <row r="218" spans="1:53" s="2" customFormat="1" ht="11.25" hidden="1">
      <c r="A218" s="3"/>
      <c r="B218" s="4" t="str">
        <f>"TÁBLATŰ"</f>
        <v>TÁBLATŰ</v>
      </c>
      <c r="C218" s="4"/>
      <c r="D218" s="6"/>
      <c r="E218" s="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7"/>
      <c r="W218" s="6"/>
      <c r="X218" s="6"/>
      <c r="Y218" s="6"/>
      <c r="Z218" s="6"/>
      <c r="AA218" s="6"/>
      <c r="AB218" s="6"/>
      <c r="AC218" s="6"/>
      <c r="AD218" s="6"/>
      <c r="AE218" s="6"/>
      <c r="AF218" s="5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11">
        <f t="shared" si="7"/>
        <v>0</v>
      </c>
      <c r="AZ218" s="42"/>
      <c r="BA218" s="11"/>
    </row>
    <row r="219" spans="1:53" s="2" customFormat="1" ht="11.25" hidden="1">
      <c r="A219" s="3"/>
      <c r="B219" s="4" t="str">
        <f>"TASAK"</f>
        <v>TASAK</v>
      </c>
      <c r="C219" s="4"/>
      <c r="D219" s="6"/>
      <c r="E219" s="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7"/>
      <c r="W219" s="6"/>
      <c r="X219" s="6"/>
      <c r="Y219" s="6"/>
      <c r="Z219" s="6"/>
      <c r="AA219" s="6"/>
      <c r="AB219" s="6"/>
      <c r="AC219" s="6"/>
      <c r="AD219" s="6"/>
      <c r="AE219" s="6"/>
      <c r="AF219" s="5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11">
        <f t="shared" si="7"/>
        <v>0</v>
      </c>
      <c r="AZ219" s="42"/>
      <c r="BA219" s="11"/>
    </row>
    <row r="220" spans="1:53" s="2" customFormat="1" ht="11.25" hidden="1">
      <c r="A220" s="3"/>
      <c r="B220" s="4" t="str">
        <f>"TASAK (CIPZÁRAS)"</f>
        <v>TASAK (CIPZÁRAS)</v>
      </c>
      <c r="C220" s="4" t="str">
        <f>"A/4"</f>
        <v>A/4</v>
      </c>
      <c r="D220" s="6"/>
      <c r="E220" s="5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7"/>
      <c r="W220" s="6"/>
      <c r="X220" s="6"/>
      <c r="Y220" s="6"/>
      <c r="Z220" s="6"/>
      <c r="AA220" s="6"/>
      <c r="AB220" s="6"/>
      <c r="AC220" s="6"/>
      <c r="AD220" s="6"/>
      <c r="AE220" s="6"/>
      <c r="AF220" s="5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11">
        <f t="shared" si="7"/>
        <v>0</v>
      </c>
      <c r="AZ220" s="42"/>
      <c r="BA220" s="11"/>
    </row>
    <row r="221" spans="1:55" s="2" customFormat="1" ht="11.25" hidden="1">
      <c r="A221" s="3"/>
      <c r="B221" s="4" t="str">
        <f>"TASAK (CIPZÁRAS)"</f>
        <v>TASAK (CIPZÁRAS)</v>
      </c>
      <c r="C221" s="4" t="str">
        <f>"A/5"</f>
        <v>A/5</v>
      </c>
      <c r="D221" s="6"/>
      <c r="E221" s="5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7"/>
      <c r="W221" s="6"/>
      <c r="X221" s="6"/>
      <c r="Y221" s="6"/>
      <c r="Z221" s="6"/>
      <c r="AA221" s="6"/>
      <c r="AB221" s="6"/>
      <c r="AC221" s="6"/>
      <c r="AD221" s="6"/>
      <c r="AE221" s="6"/>
      <c r="AF221" s="5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11">
        <f t="shared" si="7"/>
        <v>0</v>
      </c>
      <c r="AZ221" s="42"/>
      <c r="BA221" s="11"/>
      <c r="BC221" s="4"/>
    </row>
    <row r="222" spans="1:55" s="4" customFormat="1" ht="11.25" hidden="1">
      <c r="A222" s="3"/>
      <c r="B222" s="4" t="str">
        <f>"TB NAPTÁR"</f>
        <v>TB NAPTÁR</v>
      </c>
      <c r="D222" s="6"/>
      <c r="E222" s="5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7"/>
      <c r="W222" s="6"/>
      <c r="X222" s="6"/>
      <c r="Y222" s="6"/>
      <c r="Z222" s="6"/>
      <c r="AA222" s="6"/>
      <c r="AB222" s="6"/>
      <c r="AC222" s="6"/>
      <c r="AD222" s="6"/>
      <c r="AE222" s="6"/>
      <c r="AF222" s="5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11">
        <f t="shared" si="7"/>
        <v>0</v>
      </c>
      <c r="AZ222" s="41"/>
      <c r="BA222" s="6"/>
      <c r="BC222" s="2"/>
    </row>
    <row r="223" spans="1:53" s="2" customFormat="1" ht="11.25" hidden="1">
      <c r="A223" s="3"/>
      <c r="B223" s="4" t="str">
        <f>"TELEFONBLOKK"</f>
        <v>TELEFONBLOKK</v>
      </c>
      <c r="C223" s="4"/>
      <c r="D223" s="6"/>
      <c r="E223" s="5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7"/>
      <c r="W223" s="6"/>
      <c r="X223" s="6"/>
      <c r="Y223" s="6"/>
      <c r="Z223" s="6"/>
      <c r="AA223" s="6"/>
      <c r="AB223" s="6"/>
      <c r="AC223" s="6"/>
      <c r="AD223" s="6"/>
      <c r="AE223" s="6"/>
      <c r="AF223" s="5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11">
        <f t="shared" si="7"/>
        <v>0</v>
      </c>
      <c r="AZ223" s="42"/>
      <c r="BA223" s="11"/>
    </row>
    <row r="224" spans="1:53" s="2" customFormat="1" ht="11.25" hidden="1">
      <c r="A224" s="3"/>
      <c r="B224" s="4" t="str">
        <f>"TÉPŐTÖMB (FEHÉR)"</f>
        <v>TÉPŐTÖMB (FEHÉR)</v>
      </c>
      <c r="C224" s="4" t="str">
        <f>"009X009 CM"</f>
        <v>009X009 CM</v>
      </c>
      <c r="D224" s="6"/>
      <c r="E224" s="5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7"/>
      <c r="W224" s="6"/>
      <c r="X224" s="6"/>
      <c r="Y224" s="6"/>
      <c r="Z224" s="6"/>
      <c r="AA224" s="6"/>
      <c r="AB224" s="6"/>
      <c r="AC224" s="6"/>
      <c r="AD224" s="6"/>
      <c r="AE224" s="6"/>
      <c r="AF224" s="5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11">
        <f t="shared" si="7"/>
        <v>0</v>
      </c>
      <c r="AZ224" s="42"/>
      <c r="BA224" s="11"/>
    </row>
    <row r="225" spans="1:53" s="2" customFormat="1" ht="11.25">
      <c r="A225" s="3" t="s">
        <v>226</v>
      </c>
      <c r="B225" s="4" t="str">
        <f>"RADÍR"</f>
        <v>RADÍR</v>
      </c>
      <c r="C225" s="4" t="str">
        <f>"TIKKY 20"</f>
        <v>TIKKY 20</v>
      </c>
      <c r="D225" s="6"/>
      <c r="E225" s="5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>
        <v>2</v>
      </c>
      <c r="R225" s="6"/>
      <c r="S225" s="6"/>
      <c r="T225" s="6"/>
      <c r="U225" s="6">
        <v>2</v>
      </c>
      <c r="V225" s="7"/>
      <c r="W225" s="6"/>
      <c r="X225" s="6"/>
      <c r="Y225" s="6"/>
      <c r="Z225" s="6"/>
      <c r="AA225" s="6"/>
      <c r="AB225" s="6"/>
      <c r="AC225" s="6"/>
      <c r="AD225" s="6"/>
      <c r="AE225" s="6"/>
      <c r="AF225" s="5"/>
      <c r="AG225" s="6"/>
      <c r="AH225" s="6"/>
      <c r="AI225" s="6"/>
      <c r="AJ225" s="6"/>
      <c r="AK225" s="6"/>
      <c r="AL225" s="6">
        <v>1</v>
      </c>
      <c r="AM225" s="6"/>
      <c r="AN225" s="6"/>
      <c r="AO225" s="6">
        <v>2</v>
      </c>
      <c r="AP225" s="6">
        <v>2</v>
      </c>
      <c r="AQ225" s="6"/>
      <c r="AR225" s="6"/>
      <c r="AS225" s="6"/>
      <c r="AT225" s="6"/>
      <c r="AU225" s="6"/>
      <c r="AV225" s="6"/>
      <c r="AW225" s="6"/>
      <c r="AX225" s="6"/>
      <c r="AY225" s="11">
        <f t="shared" si="7"/>
        <v>9</v>
      </c>
      <c r="AZ225" s="42" t="s">
        <v>18</v>
      </c>
      <c r="BA225" s="11"/>
    </row>
    <row r="226" spans="1:53" s="2" customFormat="1" ht="11.25">
      <c r="A226" s="3" t="s">
        <v>227</v>
      </c>
      <c r="B226" s="4" t="s">
        <v>95</v>
      </c>
      <c r="C226" s="4"/>
      <c r="D226" s="6">
        <v>10</v>
      </c>
      <c r="E226" s="5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>
        <v>2</v>
      </c>
      <c r="U226" s="6"/>
      <c r="V226" s="7"/>
      <c r="W226" s="6"/>
      <c r="X226" s="6"/>
      <c r="Y226" s="6"/>
      <c r="Z226" s="6"/>
      <c r="AA226" s="6"/>
      <c r="AB226" s="6"/>
      <c r="AC226" s="6"/>
      <c r="AD226" s="6"/>
      <c r="AE226" s="6"/>
      <c r="AF226" s="5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>
        <v>1</v>
      </c>
      <c r="AX226" s="6"/>
      <c r="AY226" s="11">
        <f t="shared" si="7"/>
        <v>13</v>
      </c>
      <c r="AZ226" s="42" t="s">
        <v>18</v>
      </c>
      <c r="BA226" s="11"/>
    </row>
    <row r="227" spans="1:53" s="2" customFormat="1" ht="11.25" hidden="1">
      <c r="A227" s="3"/>
      <c r="B227" s="4" t="s">
        <v>13</v>
      </c>
      <c r="C227" s="4" t="str">
        <f>"051X038 MM"</f>
        <v>051X038 MM</v>
      </c>
      <c r="D227" s="6"/>
      <c r="E227" s="5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7"/>
      <c r="W227" s="6"/>
      <c r="X227" s="6"/>
      <c r="Y227" s="6"/>
      <c r="Z227" s="6"/>
      <c r="AA227" s="6"/>
      <c r="AB227" s="6"/>
      <c r="AC227" s="6"/>
      <c r="AD227" s="6"/>
      <c r="AE227" s="6"/>
      <c r="AF227" s="5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11">
        <f t="shared" si="7"/>
        <v>0</v>
      </c>
      <c r="AZ227" s="42" t="s">
        <v>18</v>
      </c>
      <c r="BA227" s="11"/>
    </row>
    <row r="228" spans="1:53" s="2" customFormat="1" ht="11.25" hidden="1">
      <c r="A228" s="3"/>
      <c r="B228" s="4" t="s">
        <v>14</v>
      </c>
      <c r="C228" s="4" t="str">
        <f>"127X075 MM"</f>
        <v>127X075 MM</v>
      </c>
      <c r="D228" s="6"/>
      <c r="E228" s="5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7"/>
      <c r="W228" s="6"/>
      <c r="X228" s="6"/>
      <c r="Y228" s="6"/>
      <c r="Z228" s="6"/>
      <c r="AA228" s="6"/>
      <c r="AB228" s="6"/>
      <c r="AC228" s="6"/>
      <c r="AD228" s="6"/>
      <c r="AE228" s="6"/>
      <c r="AF228" s="5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11">
        <f t="shared" si="7"/>
        <v>0</v>
      </c>
      <c r="AZ228" s="42" t="s">
        <v>18</v>
      </c>
      <c r="BA228" s="11"/>
    </row>
    <row r="229" spans="1:53" s="2" customFormat="1" ht="11.25" hidden="1">
      <c r="A229" s="3"/>
      <c r="B229" s="4" t="str">
        <f>"TÉPŐTÖMB (SZÍNES-CSAVART)"</f>
        <v>TÉPŐTÖMB (SZÍNES-CSAVART)</v>
      </c>
      <c r="C229" s="4" t="str">
        <f>"010X010 MM"</f>
        <v>010X010 MM</v>
      </c>
      <c r="D229" s="6"/>
      <c r="E229" s="5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7"/>
      <c r="W229" s="6"/>
      <c r="X229" s="6"/>
      <c r="Y229" s="6"/>
      <c r="Z229" s="6"/>
      <c r="AA229" s="6"/>
      <c r="AB229" s="6"/>
      <c r="AC229" s="6"/>
      <c r="AD229" s="6"/>
      <c r="AE229" s="6"/>
      <c r="AF229" s="5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11">
        <f t="shared" si="7"/>
        <v>0</v>
      </c>
      <c r="AZ229" s="42" t="s">
        <v>18</v>
      </c>
      <c r="BA229" s="11"/>
    </row>
    <row r="230" spans="1:55" s="2" customFormat="1" ht="11.25" hidden="1">
      <c r="A230" s="3"/>
      <c r="B230" s="4" t="str">
        <f>"TÉRKÉPTŰ"</f>
        <v>TÉRKÉPTŰ</v>
      </c>
      <c r="C230" s="4" t="str">
        <f>"SAKOTA"</f>
        <v>SAKOTA</v>
      </c>
      <c r="D230" s="6"/>
      <c r="E230" s="5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7"/>
      <c r="W230" s="6"/>
      <c r="X230" s="6"/>
      <c r="Y230" s="6"/>
      <c r="Z230" s="6"/>
      <c r="AA230" s="6"/>
      <c r="AB230" s="6"/>
      <c r="AC230" s="6"/>
      <c r="AD230" s="6"/>
      <c r="AE230" s="6"/>
      <c r="AF230" s="5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11">
        <f t="shared" si="7"/>
        <v>0</v>
      </c>
      <c r="AZ230" s="42" t="s">
        <v>18</v>
      </c>
      <c r="BA230" s="11"/>
      <c r="BC230" s="4"/>
    </row>
    <row r="231" spans="1:53" s="4" customFormat="1" ht="11.25" hidden="1">
      <c r="A231" s="3"/>
      <c r="B231" s="4" t="str">
        <f>"TÖLTŐTOLL PATRON"</f>
        <v>TÖLTŐTOLL PATRON</v>
      </c>
      <c r="C231" s="4" t="str">
        <f>"PAX"</f>
        <v>PAX</v>
      </c>
      <c r="D231" s="6"/>
      <c r="E231" s="5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7"/>
      <c r="W231" s="6"/>
      <c r="X231" s="6"/>
      <c r="Y231" s="6"/>
      <c r="Z231" s="6"/>
      <c r="AA231" s="6"/>
      <c r="AB231" s="6"/>
      <c r="AC231" s="6"/>
      <c r="AD231" s="6"/>
      <c r="AE231" s="6"/>
      <c r="AF231" s="5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11">
        <f t="shared" si="7"/>
        <v>0</v>
      </c>
      <c r="AZ231" s="42" t="s">
        <v>18</v>
      </c>
      <c r="BA231" s="6"/>
    </row>
    <row r="232" spans="1:55" s="4" customFormat="1" ht="11.25" hidden="1">
      <c r="A232" s="3"/>
      <c r="B232" s="4" t="str">
        <f>"TUSTINTA (ROTRING)"</f>
        <v>TUSTINTA (ROTRING)</v>
      </c>
      <c r="D232" s="6"/>
      <c r="E232" s="5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7"/>
      <c r="W232" s="6"/>
      <c r="X232" s="6"/>
      <c r="Y232" s="6"/>
      <c r="Z232" s="6"/>
      <c r="AA232" s="6"/>
      <c r="AB232" s="6"/>
      <c r="AC232" s="6"/>
      <c r="AD232" s="6"/>
      <c r="AE232" s="6"/>
      <c r="AF232" s="5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11">
        <f t="shared" si="7"/>
        <v>0</v>
      </c>
      <c r="AZ232" s="42" t="s">
        <v>18</v>
      </c>
      <c r="BA232" s="6"/>
      <c r="BC232" s="2"/>
    </row>
    <row r="233" spans="1:53" s="2" customFormat="1" ht="11.25" hidden="1">
      <c r="A233" s="3"/>
      <c r="B233" s="4" t="s">
        <v>15</v>
      </c>
      <c r="C233" s="4" t="str">
        <f>"DELI NO. 0327"</f>
        <v>DELI NO. 0327</v>
      </c>
      <c r="D233" s="6"/>
      <c r="E233" s="5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7"/>
      <c r="W233" s="6"/>
      <c r="X233" s="6"/>
      <c r="Y233" s="6"/>
      <c r="Z233" s="6"/>
      <c r="AA233" s="6"/>
      <c r="AB233" s="6"/>
      <c r="AC233" s="6"/>
      <c r="AD233" s="6"/>
      <c r="AE233" s="6"/>
      <c r="AF233" s="5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11">
        <f t="shared" si="7"/>
        <v>0</v>
      </c>
      <c r="AZ233" s="42" t="s">
        <v>18</v>
      </c>
      <c r="BA233" s="11"/>
    </row>
    <row r="234" spans="1:53" s="2" customFormat="1" ht="11.25">
      <c r="A234" s="3" t="s">
        <v>228</v>
      </c>
      <c r="B234" s="4" t="str">
        <f>"RAGASZTÓ STIFT"</f>
        <v>RAGASZTÓ STIFT</v>
      </c>
      <c r="C234" s="4" t="s">
        <v>298</v>
      </c>
      <c r="D234" s="6">
        <v>3</v>
      </c>
      <c r="E234" s="5"/>
      <c r="F234" s="6"/>
      <c r="G234" s="6"/>
      <c r="H234" s="6"/>
      <c r="I234" s="6"/>
      <c r="J234" s="6">
        <v>1</v>
      </c>
      <c r="K234" s="6"/>
      <c r="L234" s="6"/>
      <c r="M234" s="6"/>
      <c r="N234" s="6"/>
      <c r="O234" s="6"/>
      <c r="P234" s="6"/>
      <c r="Q234" s="6"/>
      <c r="R234" s="6"/>
      <c r="S234" s="6"/>
      <c r="T234" s="6">
        <v>2</v>
      </c>
      <c r="U234" s="6"/>
      <c r="V234" s="7"/>
      <c r="W234" s="6"/>
      <c r="X234" s="6"/>
      <c r="Y234" s="6"/>
      <c r="Z234" s="6"/>
      <c r="AA234" s="6"/>
      <c r="AB234" s="6"/>
      <c r="AC234" s="6"/>
      <c r="AD234" s="6"/>
      <c r="AE234" s="6"/>
      <c r="AF234" s="5"/>
      <c r="AG234" s="6"/>
      <c r="AH234" s="6"/>
      <c r="AI234" s="6"/>
      <c r="AJ234" s="6"/>
      <c r="AK234" s="6"/>
      <c r="AL234" s="6"/>
      <c r="AM234" s="6"/>
      <c r="AN234" s="6"/>
      <c r="AO234" s="6">
        <v>1</v>
      </c>
      <c r="AP234" s="6">
        <v>1</v>
      </c>
      <c r="AQ234" s="6"/>
      <c r="AR234" s="6"/>
      <c r="AS234" s="6"/>
      <c r="AT234" s="6"/>
      <c r="AU234" s="6"/>
      <c r="AV234" s="6"/>
      <c r="AW234" s="6"/>
      <c r="AX234" s="6"/>
      <c r="AY234" s="11">
        <f t="shared" si="7"/>
        <v>8</v>
      </c>
      <c r="AZ234" s="42" t="s">
        <v>18</v>
      </c>
      <c r="BA234" s="11"/>
    </row>
    <row r="235" spans="1:53" s="2" customFormat="1" ht="11.25">
      <c r="A235" s="3" t="s">
        <v>229</v>
      </c>
      <c r="B235" s="4" t="str">
        <f>"RAGASZTÓ SZALAG (CELLUX)"</f>
        <v>RAGASZTÓ SZALAG (CELLUX)</v>
      </c>
      <c r="C235" s="4" t="str">
        <f>"KIS TEKERCS"</f>
        <v>KIS TEKERCS</v>
      </c>
      <c r="D235" s="6">
        <v>10</v>
      </c>
      <c r="E235" s="5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>
        <v>1</v>
      </c>
      <c r="U235" s="6"/>
      <c r="V235" s="7"/>
      <c r="W235" s="6"/>
      <c r="X235" s="6"/>
      <c r="Y235" s="6"/>
      <c r="Z235" s="6"/>
      <c r="AA235" s="6"/>
      <c r="AB235" s="6"/>
      <c r="AC235" s="6"/>
      <c r="AD235" s="6"/>
      <c r="AE235" s="6"/>
      <c r="AF235" s="5"/>
      <c r="AG235" s="6"/>
      <c r="AH235" s="6"/>
      <c r="AI235" s="6"/>
      <c r="AJ235" s="6">
        <v>5</v>
      </c>
      <c r="AK235" s="6">
        <v>5</v>
      </c>
      <c r="AL235" s="6">
        <v>5</v>
      </c>
      <c r="AM235" s="6">
        <v>5</v>
      </c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11">
        <f t="shared" si="7"/>
        <v>31</v>
      </c>
      <c r="AZ235" s="42" t="s">
        <v>24</v>
      </c>
      <c r="BA235" s="11"/>
    </row>
    <row r="236" spans="1:53" s="2" customFormat="1" ht="11.25">
      <c r="A236" s="3" t="s">
        <v>230</v>
      </c>
      <c r="B236" s="4" t="str">
        <f>"RAGASZTÓ SZALAG (CELLUX)"</f>
        <v>RAGASZTÓ SZALAG (CELLUX)</v>
      </c>
      <c r="C236" s="4" t="str">
        <f>"KÖZEPES TEKERCS"</f>
        <v>KÖZEPES TEKERCS</v>
      </c>
      <c r="D236" s="6"/>
      <c r="E236" s="5"/>
      <c r="F236" s="6"/>
      <c r="G236" s="6">
        <v>10</v>
      </c>
      <c r="H236" s="6"/>
      <c r="I236" s="6"/>
      <c r="J236" s="6"/>
      <c r="K236" s="6"/>
      <c r="L236" s="6"/>
      <c r="M236" s="6"/>
      <c r="N236" s="6">
        <v>1</v>
      </c>
      <c r="O236" s="6"/>
      <c r="P236" s="6"/>
      <c r="Q236" s="6">
        <v>1</v>
      </c>
      <c r="R236" s="6"/>
      <c r="S236" s="6"/>
      <c r="T236" s="6">
        <v>1</v>
      </c>
      <c r="U236" s="6"/>
      <c r="V236" s="7"/>
      <c r="W236" s="6"/>
      <c r="X236" s="6"/>
      <c r="Y236" s="6"/>
      <c r="Z236" s="6"/>
      <c r="AA236" s="6"/>
      <c r="AB236" s="6"/>
      <c r="AC236" s="6"/>
      <c r="AD236" s="6"/>
      <c r="AE236" s="6"/>
      <c r="AF236" s="5"/>
      <c r="AG236" s="6"/>
      <c r="AH236" s="6"/>
      <c r="AI236" s="6"/>
      <c r="AJ236" s="6"/>
      <c r="AK236" s="6"/>
      <c r="AL236" s="6"/>
      <c r="AM236" s="6"/>
      <c r="AN236" s="6"/>
      <c r="AO236" s="6">
        <v>2</v>
      </c>
      <c r="AP236" s="6">
        <v>2</v>
      </c>
      <c r="AQ236" s="6"/>
      <c r="AR236" s="6"/>
      <c r="AS236" s="6"/>
      <c r="AT236" s="6"/>
      <c r="AU236" s="6"/>
      <c r="AV236" s="6"/>
      <c r="AW236" s="6"/>
      <c r="AX236" s="6"/>
      <c r="AY236" s="11">
        <f t="shared" si="7"/>
        <v>17</v>
      </c>
      <c r="AZ236" s="42" t="s">
        <v>18</v>
      </c>
      <c r="BA236" s="11"/>
    </row>
    <row r="237" spans="1:53" s="2" customFormat="1" ht="11.25" hidden="1">
      <c r="A237" s="3"/>
      <c r="B237" s="4" t="s">
        <v>15</v>
      </c>
      <c r="C237" s="4" t="str">
        <f>"MAPED VIVO"</f>
        <v>MAPED VIVO</v>
      </c>
      <c r="D237" s="6"/>
      <c r="E237" s="5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7"/>
      <c r="W237" s="6"/>
      <c r="X237" s="6"/>
      <c r="Y237" s="6"/>
      <c r="Z237" s="6"/>
      <c r="AA237" s="6"/>
      <c r="AB237" s="6"/>
      <c r="AC237" s="6"/>
      <c r="AD237" s="6"/>
      <c r="AE237" s="6"/>
      <c r="AF237" s="5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11">
        <f t="shared" si="7"/>
        <v>0</v>
      </c>
      <c r="AZ237" s="42"/>
      <c r="BA237" s="11"/>
    </row>
    <row r="238" spans="1:53" s="2" customFormat="1" ht="11.25" hidden="1">
      <c r="A238" s="3"/>
      <c r="B238" s="4" t="s">
        <v>15</v>
      </c>
      <c r="C238" s="4" t="str">
        <f>"REXEL ACCO"</f>
        <v>REXEL ACCO</v>
      </c>
      <c r="D238" s="6"/>
      <c r="E238" s="5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7"/>
      <c r="W238" s="6"/>
      <c r="X238" s="6"/>
      <c r="Y238" s="6"/>
      <c r="Z238" s="6"/>
      <c r="AA238" s="6"/>
      <c r="AB238" s="6"/>
      <c r="AC238" s="6"/>
      <c r="AD238" s="6"/>
      <c r="AE238" s="6"/>
      <c r="AF238" s="5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11">
        <f t="shared" si="7"/>
        <v>0</v>
      </c>
      <c r="AZ238" s="42"/>
      <c r="BA238" s="11"/>
    </row>
    <row r="239" spans="1:53" s="2" customFormat="1" ht="11.25" hidden="1">
      <c r="A239" s="3"/>
      <c r="B239" s="4" t="s">
        <v>15</v>
      </c>
      <c r="C239" s="4" t="str">
        <f>"TRAPER"</f>
        <v>TRAPER</v>
      </c>
      <c r="D239" s="6"/>
      <c r="E239" s="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7"/>
      <c r="W239" s="6"/>
      <c r="X239" s="6"/>
      <c r="Y239" s="6"/>
      <c r="Z239" s="6"/>
      <c r="AA239" s="6"/>
      <c r="AB239" s="6"/>
      <c r="AC239" s="6"/>
      <c r="AD239" s="6"/>
      <c r="AE239" s="6"/>
      <c r="AF239" s="5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11">
        <f t="shared" si="7"/>
        <v>0</v>
      </c>
      <c r="AZ239" s="42"/>
      <c r="BA239" s="11"/>
    </row>
    <row r="240" spans="1:53" s="2" customFormat="1" ht="11.25" hidden="1">
      <c r="A240" s="3"/>
      <c r="B240" s="4" t="s">
        <v>15</v>
      </c>
      <c r="C240" s="4" t="s">
        <v>16</v>
      </c>
      <c r="D240" s="6"/>
      <c r="E240" s="5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7"/>
      <c r="W240" s="6"/>
      <c r="X240" s="6"/>
      <c r="Y240" s="6"/>
      <c r="Z240" s="6"/>
      <c r="AA240" s="6"/>
      <c r="AB240" s="6"/>
      <c r="AC240" s="6"/>
      <c r="AD240" s="6"/>
      <c r="AE240" s="6"/>
      <c r="AF240" s="5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11">
        <f t="shared" si="7"/>
        <v>0</v>
      </c>
      <c r="AZ240" s="42"/>
      <c r="BA240" s="11"/>
    </row>
    <row r="241" spans="1:53" s="2" customFormat="1" ht="11.25" hidden="1">
      <c r="A241" s="3"/>
      <c r="B241" s="4" t="s">
        <v>17</v>
      </c>
      <c r="C241" s="4" t="s">
        <v>7</v>
      </c>
      <c r="D241" s="6"/>
      <c r="E241" s="5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7"/>
      <c r="W241" s="6"/>
      <c r="X241" s="6"/>
      <c r="Y241" s="6"/>
      <c r="Z241" s="6"/>
      <c r="AA241" s="6"/>
      <c r="AB241" s="6"/>
      <c r="AC241" s="6"/>
      <c r="AD241" s="6"/>
      <c r="AE241" s="6"/>
      <c r="AF241" s="5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11">
        <f t="shared" si="7"/>
        <v>0</v>
      </c>
      <c r="AZ241" s="42"/>
      <c r="BA241" s="11"/>
    </row>
    <row r="242" spans="1:53" s="2" customFormat="1" ht="11.25" hidden="1">
      <c r="A242" s="3"/>
      <c r="B242" s="4" t="s">
        <v>22</v>
      </c>
      <c r="C242" s="4" t="str">
        <f>"23/8"</f>
        <v>23/8</v>
      </c>
      <c r="D242" s="6"/>
      <c r="E242" s="5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7"/>
      <c r="W242" s="6"/>
      <c r="X242" s="6"/>
      <c r="Y242" s="6"/>
      <c r="Z242" s="6"/>
      <c r="AA242" s="6"/>
      <c r="AB242" s="6"/>
      <c r="AC242" s="6"/>
      <c r="AD242" s="6"/>
      <c r="AE242" s="6"/>
      <c r="AF242" s="5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11">
        <f t="shared" si="7"/>
        <v>0</v>
      </c>
      <c r="AZ242" s="42"/>
      <c r="BA242" s="11"/>
    </row>
    <row r="243" spans="1:53" s="2" customFormat="1" ht="11.25" hidden="1">
      <c r="A243" s="3"/>
      <c r="B243" s="4" t="s">
        <v>22</v>
      </c>
      <c r="C243" s="4" t="str">
        <f>"23/13"</f>
        <v>23/13</v>
      </c>
      <c r="D243" s="6"/>
      <c r="E243" s="5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7"/>
      <c r="W243" s="6"/>
      <c r="X243" s="6"/>
      <c r="Y243" s="6"/>
      <c r="Z243" s="6"/>
      <c r="AA243" s="6"/>
      <c r="AB243" s="6"/>
      <c r="AC243" s="6"/>
      <c r="AD243" s="6"/>
      <c r="AE243" s="6"/>
      <c r="AF243" s="5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11">
        <f t="shared" si="7"/>
        <v>0</v>
      </c>
      <c r="AZ243" s="42"/>
      <c r="BA243" s="11"/>
    </row>
    <row r="244" spans="1:55" s="2" customFormat="1" ht="11.25" hidden="1">
      <c r="A244" s="3"/>
      <c r="B244" s="4" t="s">
        <v>22</v>
      </c>
      <c r="C244" s="19">
        <v>14</v>
      </c>
      <c r="D244" s="6"/>
      <c r="E244" s="5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7"/>
      <c r="W244" s="6"/>
      <c r="X244" s="6"/>
      <c r="Y244" s="6"/>
      <c r="Z244" s="6"/>
      <c r="AA244" s="6"/>
      <c r="AB244" s="6"/>
      <c r="AC244" s="6"/>
      <c r="AD244" s="6"/>
      <c r="AE244" s="6"/>
      <c r="AF244" s="5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11">
        <f t="shared" si="7"/>
        <v>0</v>
      </c>
      <c r="AZ244" s="42"/>
      <c r="BA244" s="11"/>
      <c r="BC244" s="4"/>
    </row>
    <row r="245" spans="1:53" s="4" customFormat="1" ht="11.25" hidden="1">
      <c r="A245" s="3"/>
      <c r="B245" s="4" t="s">
        <v>22</v>
      </c>
      <c r="D245" s="6"/>
      <c r="E245" s="5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7"/>
      <c r="W245" s="6"/>
      <c r="X245" s="6"/>
      <c r="Y245" s="6"/>
      <c r="Z245" s="6"/>
      <c r="AA245" s="6"/>
      <c r="AB245" s="6"/>
      <c r="AC245" s="6"/>
      <c r="AD245" s="6"/>
      <c r="AE245" s="6"/>
      <c r="AF245" s="5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11">
        <f t="shared" si="7"/>
        <v>0</v>
      </c>
      <c r="AZ245" s="42"/>
      <c r="BA245" s="6"/>
    </row>
    <row r="246" spans="1:53" s="4" customFormat="1" ht="11.25" hidden="1">
      <c r="A246" s="3"/>
      <c r="B246" s="4" t="s">
        <v>22</v>
      </c>
      <c r="D246" s="6"/>
      <c r="E246" s="5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7"/>
      <c r="W246" s="6"/>
      <c r="X246" s="6"/>
      <c r="Y246" s="6"/>
      <c r="Z246" s="6"/>
      <c r="AA246" s="6"/>
      <c r="AB246" s="6"/>
      <c r="AC246" s="6"/>
      <c r="AD246" s="6"/>
      <c r="AE246" s="6"/>
      <c r="AF246" s="5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11">
        <f t="shared" si="7"/>
        <v>0</v>
      </c>
      <c r="AZ246" s="42"/>
      <c r="BA246" s="6"/>
    </row>
    <row r="247" spans="1:53" s="4" customFormat="1" ht="11.25" hidden="1">
      <c r="A247" s="3"/>
      <c r="B247" s="4" t="s">
        <v>22</v>
      </c>
      <c r="D247" s="6"/>
      <c r="E247" s="5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7"/>
      <c r="W247" s="6"/>
      <c r="X247" s="6"/>
      <c r="Y247" s="6"/>
      <c r="Z247" s="6"/>
      <c r="AA247" s="6"/>
      <c r="AB247" s="6"/>
      <c r="AC247" s="6"/>
      <c r="AD247" s="6"/>
      <c r="AE247" s="6"/>
      <c r="AF247" s="5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11">
        <f t="shared" si="7"/>
        <v>0</v>
      </c>
      <c r="AZ247" s="42"/>
      <c r="BA247" s="6"/>
    </row>
    <row r="248" spans="1:53" s="4" customFormat="1" ht="11.25" hidden="1">
      <c r="A248" s="3"/>
      <c r="B248" s="4" t="s">
        <v>22</v>
      </c>
      <c r="C248" s="4" t="str">
        <f>"A/4 25X4"</f>
        <v>A/4 25X4</v>
      </c>
      <c r="D248" s="6"/>
      <c r="E248" s="5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7"/>
      <c r="W248" s="6"/>
      <c r="X248" s="6"/>
      <c r="Y248" s="6"/>
      <c r="Z248" s="6"/>
      <c r="AA248" s="6"/>
      <c r="AB248" s="6"/>
      <c r="AC248" s="6"/>
      <c r="AD248" s="6"/>
      <c r="AE248" s="6"/>
      <c r="AF248" s="5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11">
        <f t="shared" si="7"/>
        <v>0</v>
      </c>
      <c r="AZ248" s="42"/>
      <c r="BA248" s="6"/>
    </row>
    <row r="249" spans="1:53" s="4" customFormat="1" ht="11.25" hidden="1">
      <c r="A249" s="3"/>
      <c r="B249" s="4" t="s">
        <v>22</v>
      </c>
      <c r="C249" s="4" t="str">
        <f>"25X2 V.VÁLL 71/V"</f>
        <v>25X2 V.VÁLL 71/V</v>
      </c>
      <c r="D249" s="6"/>
      <c r="E249" s="5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7"/>
      <c r="W249" s="6"/>
      <c r="X249" s="6"/>
      <c r="Y249" s="6"/>
      <c r="Z249" s="6"/>
      <c r="AA249" s="6"/>
      <c r="AB249" s="6"/>
      <c r="AC249" s="6"/>
      <c r="AD249" s="6"/>
      <c r="AE249" s="6"/>
      <c r="AF249" s="5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11">
        <f t="shared" si="7"/>
        <v>0</v>
      </c>
      <c r="AZ249" s="42"/>
      <c r="BA249" s="6"/>
    </row>
    <row r="250" spans="1:53" s="4" customFormat="1" ht="11.25" hidden="1">
      <c r="A250" s="3"/>
      <c r="B250" s="4" t="s">
        <v>22</v>
      </c>
      <c r="C250" s="4" t="str">
        <f>"PÁTRIA (C.3337-11)"</f>
        <v>PÁTRIA (C.3337-11)</v>
      </c>
      <c r="D250" s="6"/>
      <c r="E250" s="5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7"/>
      <c r="W250" s="6"/>
      <c r="X250" s="6"/>
      <c r="Y250" s="6"/>
      <c r="Z250" s="6"/>
      <c r="AA250" s="6"/>
      <c r="AB250" s="6"/>
      <c r="AC250" s="6"/>
      <c r="AD250" s="6"/>
      <c r="AE250" s="6"/>
      <c r="AF250" s="5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11">
        <f t="shared" si="7"/>
        <v>0</v>
      </c>
      <c r="AZ250" s="42"/>
      <c r="BA250" s="6"/>
    </row>
    <row r="251" spans="1:53" s="4" customFormat="1" ht="11.25" hidden="1">
      <c r="A251" s="3"/>
      <c r="B251" s="4" t="s">
        <v>22</v>
      </c>
      <c r="D251" s="6"/>
      <c r="E251" s="5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7"/>
      <c r="W251" s="6"/>
      <c r="X251" s="6"/>
      <c r="Y251" s="6"/>
      <c r="Z251" s="6"/>
      <c r="AA251" s="6"/>
      <c r="AB251" s="6"/>
      <c r="AC251" s="6"/>
      <c r="AD251" s="6"/>
      <c r="AE251" s="6"/>
      <c r="AF251" s="5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11">
        <f t="shared" si="7"/>
        <v>0</v>
      </c>
      <c r="AZ251" s="42"/>
      <c r="BA251" s="6"/>
    </row>
    <row r="252" spans="1:53" s="4" customFormat="1" ht="11.25" hidden="1">
      <c r="A252" s="3"/>
      <c r="B252" s="4" t="s">
        <v>22</v>
      </c>
      <c r="C252" s="4" t="str">
        <f>"A/4"</f>
        <v>A/4</v>
      </c>
      <c r="D252" s="6"/>
      <c r="E252" s="5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7"/>
      <c r="W252" s="6"/>
      <c r="X252" s="6"/>
      <c r="Y252" s="6"/>
      <c r="Z252" s="6"/>
      <c r="AA252" s="6"/>
      <c r="AB252" s="6"/>
      <c r="AC252" s="6"/>
      <c r="AD252" s="6"/>
      <c r="AE252" s="6"/>
      <c r="AF252" s="5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11">
        <f t="shared" si="7"/>
        <v>0</v>
      </c>
      <c r="AZ252" s="42"/>
      <c r="BA252" s="6"/>
    </row>
    <row r="253" spans="1:53" s="4" customFormat="1" ht="11.25" hidden="1">
      <c r="A253" s="3"/>
      <c r="B253" s="4" t="s">
        <v>22</v>
      </c>
      <c r="C253" s="4" t="str">
        <f>"DVV.1250/ÚJ A/5"</f>
        <v>DVV.1250/ÚJ A/5</v>
      </c>
      <c r="D253" s="6"/>
      <c r="E253" s="5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7"/>
      <c r="W253" s="6"/>
      <c r="X253" s="6"/>
      <c r="Y253" s="6"/>
      <c r="Z253" s="6"/>
      <c r="AA253" s="6"/>
      <c r="AB253" s="6"/>
      <c r="AC253" s="6"/>
      <c r="AD253" s="6"/>
      <c r="AE253" s="6"/>
      <c r="AF253" s="5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11">
        <f aca="true" t="shared" si="8" ref="AY253:AY288">SUM(D253:AX253)</f>
        <v>0</v>
      </c>
      <c r="AZ253" s="42"/>
      <c r="BA253" s="6"/>
    </row>
    <row r="254" spans="1:53" s="4" customFormat="1" ht="11.25" hidden="1">
      <c r="A254" s="3"/>
      <c r="B254" s="4" t="s">
        <v>22</v>
      </c>
      <c r="C254" s="4" t="s">
        <v>1</v>
      </c>
      <c r="D254" s="6"/>
      <c r="E254" s="5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7"/>
      <c r="W254" s="6"/>
      <c r="X254" s="6"/>
      <c r="Y254" s="6"/>
      <c r="Z254" s="6"/>
      <c r="AA254" s="6"/>
      <c r="AB254" s="6"/>
      <c r="AC254" s="6"/>
      <c r="AD254" s="6"/>
      <c r="AE254" s="6"/>
      <c r="AF254" s="5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11">
        <f t="shared" si="8"/>
        <v>0</v>
      </c>
      <c r="AZ254" s="42"/>
      <c r="BA254" s="6"/>
    </row>
    <row r="255" spans="1:53" s="4" customFormat="1" ht="11.25" hidden="1">
      <c r="A255" s="3"/>
      <c r="B255" s="4" t="s">
        <v>22</v>
      </c>
      <c r="D255" s="6"/>
      <c r="E255" s="5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7"/>
      <c r="W255" s="6"/>
      <c r="X255" s="6"/>
      <c r="Y255" s="6"/>
      <c r="Z255" s="6"/>
      <c r="AA255" s="6"/>
      <c r="AB255" s="6"/>
      <c r="AC255" s="6"/>
      <c r="AD255" s="6"/>
      <c r="AE255" s="6"/>
      <c r="AF255" s="5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11">
        <f t="shared" si="8"/>
        <v>0</v>
      </c>
      <c r="AZ255" s="42"/>
      <c r="BA255" s="6"/>
    </row>
    <row r="256" spans="1:53" s="4" customFormat="1" ht="11.25">
      <c r="A256" s="3" t="s">
        <v>231</v>
      </c>
      <c r="B256" s="4" t="s">
        <v>32</v>
      </c>
      <c r="C256" s="4" t="s">
        <v>33</v>
      </c>
      <c r="D256" s="6"/>
      <c r="E256" s="5"/>
      <c r="F256" s="6"/>
      <c r="G256" s="6">
        <v>5</v>
      </c>
      <c r="H256" s="6"/>
      <c r="I256" s="6"/>
      <c r="J256" s="6">
        <v>2</v>
      </c>
      <c r="K256" s="6"/>
      <c r="L256" s="6"/>
      <c r="M256" s="6"/>
      <c r="N256" s="6"/>
      <c r="O256" s="6"/>
      <c r="P256" s="6"/>
      <c r="Q256" s="6">
        <v>1</v>
      </c>
      <c r="R256" s="6"/>
      <c r="S256" s="6"/>
      <c r="T256" s="6"/>
      <c r="U256" s="6"/>
      <c r="V256" s="7"/>
      <c r="W256" s="6"/>
      <c r="X256" s="6"/>
      <c r="Y256" s="6"/>
      <c r="Z256" s="6"/>
      <c r="AA256" s="6"/>
      <c r="AB256" s="6"/>
      <c r="AC256" s="6"/>
      <c r="AD256" s="6"/>
      <c r="AE256" s="6"/>
      <c r="AF256" s="5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11">
        <f t="shared" si="8"/>
        <v>8</v>
      </c>
      <c r="AZ256" s="42" t="s">
        <v>18</v>
      </c>
      <c r="BA256" s="6"/>
    </row>
    <row r="257" spans="1:53" s="4" customFormat="1" ht="11.25">
      <c r="A257" s="3" t="s">
        <v>232</v>
      </c>
      <c r="B257" s="4" t="s">
        <v>76</v>
      </c>
      <c r="C257" s="4" t="s">
        <v>77</v>
      </c>
      <c r="D257" s="6">
        <v>4</v>
      </c>
      <c r="E257" s="5"/>
      <c r="F257" s="6"/>
      <c r="G257" s="6">
        <v>10</v>
      </c>
      <c r="H257" s="6"/>
      <c r="I257" s="6"/>
      <c r="J257" s="6"/>
      <c r="K257" s="6"/>
      <c r="L257" s="6"/>
      <c r="M257" s="6"/>
      <c r="N257" s="6"/>
      <c r="O257" s="6"/>
      <c r="P257" s="6"/>
      <c r="Q257" s="6">
        <v>1</v>
      </c>
      <c r="R257" s="6"/>
      <c r="S257" s="6"/>
      <c r="T257" s="6"/>
      <c r="U257" s="6"/>
      <c r="V257" s="7"/>
      <c r="W257" s="6"/>
      <c r="X257" s="6"/>
      <c r="Y257" s="6"/>
      <c r="Z257" s="6"/>
      <c r="AA257" s="6"/>
      <c r="AB257" s="6"/>
      <c r="AC257" s="6"/>
      <c r="AD257" s="6"/>
      <c r="AE257" s="6"/>
      <c r="AF257" s="5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11">
        <f t="shared" si="8"/>
        <v>15</v>
      </c>
      <c r="AZ257" s="42" t="s">
        <v>18</v>
      </c>
      <c r="BA257" s="6"/>
    </row>
    <row r="258" spans="1:53" s="4" customFormat="1" ht="11.25">
      <c r="A258" s="3" t="s">
        <v>233</v>
      </c>
      <c r="B258" s="4" t="s">
        <v>29</v>
      </c>
      <c r="C258" s="4" t="s">
        <v>46</v>
      </c>
      <c r="D258" s="6"/>
      <c r="E258" s="5"/>
      <c r="F258" s="6"/>
      <c r="G258" s="6">
        <v>10</v>
      </c>
      <c r="H258" s="6"/>
      <c r="I258" s="6"/>
      <c r="J258" s="6">
        <v>2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7"/>
      <c r="W258" s="6"/>
      <c r="X258" s="6"/>
      <c r="Y258" s="6"/>
      <c r="Z258" s="6"/>
      <c r="AA258" s="6"/>
      <c r="AB258" s="6"/>
      <c r="AC258" s="6"/>
      <c r="AD258" s="6"/>
      <c r="AE258" s="6"/>
      <c r="AF258" s="5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11">
        <f t="shared" si="8"/>
        <v>12</v>
      </c>
      <c r="AZ258" s="42" t="s">
        <v>18</v>
      </c>
      <c r="BA258" s="6"/>
    </row>
    <row r="259" spans="1:53" s="2" customFormat="1" ht="11.25">
      <c r="A259" s="3" t="s">
        <v>234</v>
      </c>
      <c r="B259" s="4" t="s">
        <v>29</v>
      </c>
      <c r="C259" s="4" t="s">
        <v>30</v>
      </c>
      <c r="D259" s="6"/>
      <c r="E259" s="5"/>
      <c r="F259" s="6"/>
      <c r="G259" s="6">
        <v>10</v>
      </c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7"/>
      <c r="W259" s="6"/>
      <c r="X259" s="6"/>
      <c r="Y259" s="6"/>
      <c r="Z259" s="6"/>
      <c r="AA259" s="6"/>
      <c r="AB259" s="6"/>
      <c r="AC259" s="6"/>
      <c r="AD259" s="6"/>
      <c r="AE259" s="6"/>
      <c r="AF259" s="5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11">
        <f t="shared" si="8"/>
        <v>10</v>
      </c>
      <c r="AZ259" s="42" t="s">
        <v>18</v>
      </c>
      <c r="BA259" s="11"/>
    </row>
    <row r="260" spans="1:53" s="2" customFormat="1" ht="11.25">
      <c r="A260" s="3" t="s">
        <v>235</v>
      </c>
      <c r="B260" s="4" t="s">
        <v>29</v>
      </c>
      <c r="C260" s="4" t="s">
        <v>121</v>
      </c>
      <c r="D260" s="6">
        <v>4</v>
      </c>
      <c r="E260" s="5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7"/>
      <c r="W260" s="6"/>
      <c r="X260" s="6"/>
      <c r="Y260" s="6"/>
      <c r="Z260" s="6"/>
      <c r="AA260" s="6"/>
      <c r="AB260" s="6"/>
      <c r="AC260" s="6"/>
      <c r="AD260" s="6"/>
      <c r="AE260" s="6"/>
      <c r="AF260" s="5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11">
        <f t="shared" si="8"/>
        <v>4</v>
      </c>
      <c r="AZ260" s="42" t="s">
        <v>18</v>
      </c>
      <c r="BA260" s="11"/>
    </row>
    <row r="261" spans="1:53" s="2" customFormat="1" ht="11.25">
      <c r="A261" s="3" t="s">
        <v>236</v>
      </c>
      <c r="B261" s="4" t="s">
        <v>29</v>
      </c>
      <c r="C261" s="4" t="s">
        <v>73</v>
      </c>
      <c r="D261" s="6"/>
      <c r="E261" s="5"/>
      <c r="F261" s="6"/>
      <c r="G261" s="6">
        <v>10</v>
      </c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7"/>
      <c r="W261" s="6"/>
      <c r="X261" s="6"/>
      <c r="Y261" s="6"/>
      <c r="Z261" s="6"/>
      <c r="AA261" s="6"/>
      <c r="AB261" s="6"/>
      <c r="AC261" s="6"/>
      <c r="AD261" s="6"/>
      <c r="AE261" s="6"/>
      <c r="AF261" s="5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11">
        <f t="shared" si="8"/>
        <v>10</v>
      </c>
      <c r="AZ261" s="42" t="s">
        <v>18</v>
      </c>
      <c r="BA261" s="11"/>
    </row>
    <row r="262" spans="1:53" s="2" customFormat="1" ht="11.25">
      <c r="A262" s="3" t="s">
        <v>237</v>
      </c>
      <c r="B262" s="4" t="s">
        <v>38</v>
      </c>
      <c r="C262" s="4" t="s">
        <v>40</v>
      </c>
      <c r="D262" s="6"/>
      <c r="E262" s="5">
        <v>1</v>
      </c>
      <c r="F262" s="6"/>
      <c r="G262" s="6"/>
      <c r="H262" s="6"/>
      <c r="I262" s="6"/>
      <c r="J262" s="6">
        <v>2</v>
      </c>
      <c r="K262" s="6"/>
      <c r="L262" s="6"/>
      <c r="M262" s="6"/>
      <c r="N262" s="6">
        <v>1</v>
      </c>
      <c r="O262" s="6"/>
      <c r="P262" s="6"/>
      <c r="Q262" s="6"/>
      <c r="R262" s="6"/>
      <c r="S262" s="6"/>
      <c r="T262" s="6">
        <v>1</v>
      </c>
      <c r="U262" s="6">
        <v>1</v>
      </c>
      <c r="V262" s="7"/>
      <c r="W262" s="6"/>
      <c r="X262" s="6"/>
      <c r="Y262" s="6"/>
      <c r="Z262" s="6"/>
      <c r="AA262" s="6"/>
      <c r="AB262" s="6"/>
      <c r="AC262" s="6"/>
      <c r="AD262" s="6"/>
      <c r="AE262" s="6"/>
      <c r="AF262" s="5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11">
        <f t="shared" si="8"/>
        <v>6</v>
      </c>
      <c r="AZ262" s="42" t="s">
        <v>18</v>
      </c>
      <c r="BA262" s="11"/>
    </row>
    <row r="263" spans="1:53" s="2" customFormat="1" ht="11.25">
      <c r="A263" s="3" t="s">
        <v>238</v>
      </c>
      <c r="B263" s="4" t="s">
        <v>38</v>
      </c>
      <c r="C263" s="4" t="s">
        <v>42</v>
      </c>
      <c r="D263" s="6"/>
      <c r="E263" s="5"/>
      <c r="F263" s="6"/>
      <c r="G263" s="6">
        <v>10</v>
      </c>
      <c r="H263" s="6"/>
      <c r="I263" s="6"/>
      <c r="J263" s="6"/>
      <c r="K263" s="6"/>
      <c r="L263" s="6"/>
      <c r="M263" s="6"/>
      <c r="N263" s="6">
        <v>1</v>
      </c>
      <c r="O263" s="6"/>
      <c r="P263" s="6"/>
      <c r="Q263" s="6"/>
      <c r="R263" s="6"/>
      <c r="S263" s="6"/>
      <c r="T263" s="6">
        <v>1</v>
      </c>
      <c r="U263" s="6"/>
      <c r="V263" s="7"/>
      <c r="W263" s="6"/>
      <c r="X263" s="6"/>
      <c r="Y263" s="6"/>
      <c r="Z263" s="6"/>
      <c r="AA263" s="6"/>
      <c r="AB263" s="6"/>
      <c r="AC263" s="6"/>
      <c r="AD263" s="6"/>
      <c r="AE263" s="6"/>
      <c r="AF263" s="5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11">
        <f t="shared" si="8"/>
        <v>12</v>
      </c>
      <c r="AZ263" s="42" t="s">
        <v>18</v>
      </c>
      <c r="BA263" s="11"/>
    </row>
    <row r="264" spans="1:53" s="4" customFormat="1" ht="11.25">
      <c r="A264" s="3" t="s">
        <v>239</v>
      </c>
      <c r="B264" s="20" t="s">
        <v>38</v>
      </c>
      <c r="C264" s="4" t="s">
        <v>41</v>
      </c>
      <c r="D264" s="6"/>
      <c r="E264" s="5"/>
      <c r="F264" s="6"/>
      <c r="G264" s="6">
        <v>10</v>
      </c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7"/>
      <c r="W264" s="6"/>
      <c r="X264" s="6"/>
      <c r="Y264" s="6"/>
      <c r="Z264" s="6"/>
      <c r="AA264" s="6"/>
      <c r="AB264" s="6"/>
      <c r="AC264" s="6"/>
      <c r="AD264" s="6"/>
      <c r="AE264" s="6"/>
      <c r="AF264" s="5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11">
        <f t="shared" si="8"/>
        <v>10</v>
      </c>
      <c r="AZ264" s="42" t="s">
        <v>18</v>
      </c>
      <c r="BA264" s="6"/>
    </row>
    <row r="265" spans="1:53" s="4" customFormat="1" ht="11.25">
      <c r="A265" s="3" t="s">
        <v>240</v>
      </c>
      <c r="B265" s="4" t="s">
        <v>38</v>
      </c>
      <c r="C265" s="4" t="s">
        <v>39</v>
      </c>
      <c r="D265" s="6"/>
      <c r="E265" s="5"/>
      <c r="F265" s="6"/>
      <c r="G265" s="6">
        <v>10</v>
      </c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7"/>
      <c r="W265" s="6"/>
      <c r="X265" s="6"/>
      <c r="Y265" s="6"/>
      <c r="Z265" s="6"/>
      <c r="AA265" s="6"/>
      <c r="AB265" s="6"/>
      <c r="AC265" s="6"/>
      <c r="AD265" s="6"/>
      <c r="AE265" s="6"/>
      <c r="AF265" s="5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11">
        <f t="shared" si="8"/>
        <v>10</v>
      </c>
      <c r="AZ265" s="42" t="s">
        <v>18</v>
      </c>
      <c r="BA265" s="6"/>
    </row>
    <row r="266" spans="1:53" s="4" customFormat="1" ht="11.25">
      <c r="A266" s="3" t="s">
        <v>241</v>
      </c>
      <c r="B266" s="4" t="s">
        <v>2</v>
      </c>
      <c r="C266" s="4" t="s">
        <v>3</v>
      </c>
      <c r="D266" s="6">
        <v>10</v>
      </c>
      <c r="E266" s="5">
        <v>1</v>
      </c>
      <c r="F266" s="6"/>
      <c r="G266" s="6">
        <v>10</v>
      </c>
      <c r="H266" s="6"/>
      <c r="I266" s="6"/>
      <c r="J266" s="6">
        <v>2</v>
      </c>
      <c r="K266" s="6"/>
      <c r="L266" s="6"/>
      <c r="M266" s="6"/>
      <c r="N266" s="6">
        <v>1</v>
      </c>
      <c r="O266" s="6"/>
      <c r="P266" s="6"/>
      <c r="Q266" s="6"/>
      <c r="R266" s="6"/>
      <c r="S266" s="6"/>
      <c r="T266" s="6"/>
      <c r="U266" s="6"/>
      <c r="V266" s="7"/>
      <c r="W266" s="6"/>
      <c r="X266" s="6"/>
      <c r="Y266" s="6"/>
      <c r="Z266" s="6"/>
      <c r="AA266" s="6"/>
      <c r="AB266" s="6"/>
      <c r="AC266" s="6"/>
      <c r="AD266" s="6"/>
      <c r="AE266" s="6"/>
      <c r="AF266" s="5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>
        <v>3</v>
      </c>
      <c r="AX266" s="6"/>
      <c r="AY266" s="11">
        <f t="shared" si="8"/>
        <v>27</v>
      </c>
      <c r="AZ266" s="42" t="s">
        <v>18</v>
      </c>
      <c r="BA266" s="6"/>
    </row>
    <row r="267" spans="1:53" s="4" customFormat="1" ht="11.25">
      <c r="A267" s="3" t="s">
        <v>242</v>
      </c>
      <c r="B267" s="4" t="s">
        <v>2</v>
      </c>
      <c r="C267" s="4" t="s">
        <v>6</v>
      </c>
      <c r="D267" s="6"/>
      <c r="E267" s="5"/>
      <c r="F267" s="6"/>
      <c r="G267" s="6"/>
      <c r="H267" s="6"/>
      <c r="I267" s="6"/>
      <c r="J267" s="6"/>
      <c r="K267" s="6"/>
      <c r="L267" s="6"/>
      <c r="M267" s="6"/>
      <c r="N267" s="6">
        <v>1</v>
      </c>
      <c r="O267" s="6"/>
      <c r="P267" s="6"/>
      <c r="Q267" s="6"/>
      <c r="R267" s="6"/>
      <c r="S267" s="6"/>
      <c r="T267" s="6"/>
      <c r="U267" s="6"/>
      <c r="V267" s="7"/>
      <c r="W267" s="6"/>
      <c r="X267" s="6"/>
      <c r="Y267" s="6"/>
      <c r="Z267" s="6"/>
      <c r="AA267" s="6"/>
      <c r="AB267" s="6"/>
      <c r="AC267" s="6"/>
      <c r="AD267" s="6"/>
      <c r="AE267" s="6"/>
      <c r="AF267" s="5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11">
        <f t="shared" si="8"/>
        <v>1</v>
      </c>
      <c r="AZ267" s="42" t="s">
        <v>18</v>
      </c>
      <c r="BA267" s="6"/>
    </row>
    <row r="268" spans="1:53" s="4" customFormat="1" ht="11.25">
      <c r="A268" s="3" t="s">
        <v>243</v>
      </c>
      <c r="B268" s="4" t="s">
        <v>2</v>
      </c>
      <c r="C268" s="4" t="s">
        <v>4</v>
      </c>
      <c r="D268" s="6"/>
      <c r="E268" s="5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7"/>
      <c r="W268" s="6"/>
      <c r="X268" s="6"/>
      <c r="Y268" s="6"/>
      <c r="Z268" s="6"/>
      <c r="AA268" s="6"/>
      <c r="AB268" s="6"/>
      <c r="AC268" s="6"/>
      <c r="AD268" s="6"/>
      <c r="AE268" s="6"/>
      <c r="AF268" s="5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>
        <v>3</v>
      </c>
      <c r="AX268" s="6"/>
      <c r="AY268" s="11">
        <f t="shared" si="8"/>
        <v>3</v>
      </c>
      <c r="AZ268" s="42" t="s">
        <v>18</v>
      </c>
      <c r="BA268" s="6"/>
    </row>
    <row r="269" spans="1:53" s="4" customFormat="1" ht="11.25">
      <c r="A269" s="3" t="s">
        <v>244</v>
      </c>
      <c r="B269" s="4" t="s">
        <v>2</v>
      </c>
      <c r="C269" s="4" t="s">
        <v>122</v>
      </c>
      <c r="D269" s="6">
        <v>10</v>
      </c>
      <c r="E269" s="5"/>
      <c r="F269" s="6"/>
      <c r="G269" s="6">
        <v>10</v>
      </c>
      <c r="H269" s="6"/>
      <c r="I269" s="6"/>
      <c r="J269" s="6"/>
      <c r="K269" s="6"/>
      <c r="L269" s="6"/>
      <c r="M269" s="6"/>
      <c r="N269" s="6">
        <v>1</v>
      </c>
      <c r="O269" s="6"/>
      <c r="P269" s="6"/>
      <c r="Q269" s="6"/>
      <c r="R269" s="6"/>
      <c r="S269" s="6"/>
      <c r="T269" s="6"/>
      <c r="U269" s="6"/>
      <c r="V269" s="7"/>
      <c r="W269" s="6"/>
      <c r="X269" s="6"/>
      <c r="Y269" s="6"/>
      <c r="Z269" s="6"/>
      <c r="AA269" s="6"/>
      <c r="AB269" s="6"/>
      <c r="AC269" s="6"/>
      <c r="AD269" s="6"/>
      <c r="AE269" s="6"/>
      <c r="AF269" s="5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11">
        <f t="shared" si="8"/>
        <v>21</v>
      </c>
      <c r="AZ269" s="42" t="s">
        <v>18</v>
      </c>
      <c r="BA269" s="6"/>
    </row>
    <row r="270" spans="1:53" s="4" customFormat="1" ht="11.25">
      <c r="A270" s="3" t="s">
        <v>245</v>
      </c>
      <c r="B270" s="4" t="s">
        <v>2</v>
      </c>
      <c r="C270" s="4" t="s">
        <v>286</v>
      </c>
      <c r="D270" s="6"/>
      <c r="E270" s="5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7"/>
      <c r="W270" s="6"/>
      <c r="X270" s="6"/>
      <c r="Y270" s="6"/>
      <c r="Z270" s="6"/>
      <c r="AA270" s="6"/>
      <c r="AB270" s="6"/>
      <c r="AC270" s="6"/>
      <c r="AD270" s="6"/>
      <c r="AE270" s="6"/>
      <c r="AF270" s="5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>
        <v>5</v>
      </c>
      <c r="AX270" s="6"/>
      <c r="AY270" s="11">
        <f t="shared" si="8"/>
        <v>5</v>
      </c>
      <c r="AZ270" s="42" t="s">
        <v>18</v>
      </c>
      <c r="BA270" s="6"/>
    </row>
    <row r="271" spans="1:53" s="4" customFormat="1" ht="11.25">
      <c r="A271" s="3" t="s">
        <v>246</v>
      </c>
      <c r="B271" s="4" t="s">
        <v>2</v>
      </c>
      <c r="C271" s="4" t="s">
        <v>49</v>
      </c>
      <c r="D271" s="6"/>
      <c r="E271" s="5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>
        <v>1</v>
      </c>
      <c r="U271" s="6"/>
      <c r="V271" s="7"/>
      <c r="W271" s="6"/>
      <c r="X271" s="6"/>
      <c r="Y271" s="6"/>
      <c r="Z271" s="6"/>
      <c r="AA271" s="6"/>
      <c r="AB271" s="6"/>
      <c r="AC271" s="6"/>
      <c r="AD271" s="6"/>
      <c r="AE271" s="6"/>
      <c r="AF271" s="5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>
        <v>5</v>
      </c>
      <c r="AX271" s="6"/>
      <c r="AY271" s="11">
        <f t="shared" si="8"/>
        <v>6</v>
      </c>
      <c r="AZ271" s="42" t="s">
        <v>18</v>
      </c>
      <c r="BA271" s="6"/>
    </row>
    <row r="272" spans="1:55" s="4" customFormat="1" ht="11.25">
      <c r="A272" s="3" t="s">
        <v>247</v>
      </c>
      <c r="B272" s="4" t="s">
        <v>72</v>
      </c>
      <c r="D272" s="6"/>
      <c r="E272" s="5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7"/>
      <c r="W272" s="6"/>
      <c r="X272" s="6"/>
      <c r="Y272" s="6"/>
      <c r="Z272" s="6"/>
      <c r="AA272" s="6"/>
      <c r="AB272" s="6"/>
      <c r="AC272" s="6"/>
      <c r="AD272" s="6"/>
      <c r="AE272" s="6"/>
      <c r="AF272" s="5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>
        <v>10</v>
      </c>
      <c r="AU272" s="6"/>
      <c r="AV272" s="6"/>
      <c r="AW272" s="6"/>
      <c r="AX272" s="6"/>
      <c r="AY272" s="11">
        <f t="shared" si="8"/>
        <v>10</v>
      </c>
      <c r="AZ272" s="42" t="s">
        <v>18</v>
      </c>
      <c r="BA272" s="6"/>
      <c r="BC272" s="2"/>
    </row>
    <row r="273" spans="1:53" s="4" customFormat="1" ht="11.25">
      <c r="A273" s="3" t="s">
        <v>248</v>
      </c>
      <c r="B273" s="4" t="s">
        <v>63</v>
      </c>
      <c r="C273" s="4" t="s">
        <v>9</v>
      </c>
      <c r="D273" s="6"/>
      <c r="E273" s="5"/>
      <c r="F273" s="6"/>
      <c r="G273" s="6">
        <v>2</v>
      </c>
      <c r="H273" s="6"/>
      <c r="I273" s="6"/>
      <c r="J273" s="6">
        <v>1</v>
      </c>
      <c r="K273" s="6"/>
      <c r="L273" s="6"/>
      <c r="M273" s="6"/>
      <c r="N273" s="6">
        <v>1</v>
      </c>
      <c r="O273" s="6"/>
      <c r="P273" s="6"/>
      <c r="Q273" s="6"/>
      <c r="R273" s="6"/>
      <c r="S273" s="6"/>
      <c r="T273" s="6"/>
      <c r="U273" s="6"/>
      <c r="V273" s="7"/>
      <c r="W273" s="6"/>
      <c r="X273" s="6"/>
      <c r="Y273" s="6"/>
      <c r="Z273" s="6"/>
      <c r="AA273" s="6"/>
      <c r="AB273" s="6"/>
      <c r="AC273" s="6"/>
      <c r="AD273" s="6"/>
      <c r="AE273" s="6"/>
      <c r="AF273" s="5"/>
      <c r="AG273" s="6"/>
      <c r="AH273" s="6"/>
      <c r="AI273" s="6"/>
      <c r="AJ273" s="6"/>
      <c r="AK273" s="6"/>
      <c r="AL273" s="6">
        <v>1</v>
      </c>
      <c r="AM273" s="6"/>
      <c r="AN273" s="6">
        <v>1</v>
      </c>
      <c r="AO273" s="6"/>
      <c r="AP273" s="6"/>
      <c r="AQ273" s="6"/>
      <c r="AR273" s="6"/>
      <c r="AS273" s="6"/>
      <c r="AT273" s="6"/>
      <c r="AU273" s="6"/>
      <c r="AV273" s="6"/>
      <c r="AW273" s="6">
        <v>2</v>
      </c>
      <c r="AX273" s="6"/>
      <c r="AY273" s="11">
        <f t="shared" si="8"/>
        <v>8</v>
      </c>
      <c r="AZ273" s="42" t="s">
        <v>18</v>
      </c>
      <c r="BA273" s="6"/>
    </row>
    <row r="274" spans="1:53" s="4" customFormat="1" ht="11.25">
      <c r="A274" s="3" t="s">
        <v>249</v>
      </c>
      <c r="B274" s="4" t="s">
        <v>63</v>
      </c>
      <c r="C274" s="4" t="s">
        <v>10</v>
      </c>
      <c r="D274" s="6"/>
      <c r="E274" s="5"/>
      <c r="F274" s="6"/>
      <c r="G274" s="6"/>
      <c r="H274" s="6"/>
      <c r="I274" s="6"/>
      <c r="J274" s="6">
        <v>1</v>
      </c>
      <c r="K274" s="6"/>
      <c r="L274" s="6"/>
      <c r="M274" s="6"/>
      <c r="N274" s="6">
        <v>1</v>
      </c>
      <c r="O274" s="6"/>
      <c r="P274" s="6"/>
      <c r="Q274" s="6"/>
      <c r="R274" s="6"/>
      <c r="S274" s="6"/>
      <c r="T274" s="6"/>
      <c r="U274" s="6"/>
      <c r="V274" s="7"/>
      <c r="W274" s="6"/>
      <c r="X274" s="6"/>
      <c r="Y274" s="6"/>
      <c r="Z274" s="6"/>
      <c r="AA274" s="6"/>
      <c r="AB274" s="6"/>
      <c r="AC274" s="6"/>
      <c r="AD274" s="6"/>
      <c r="AE274" s="6"/>
      <c r="AF274" s="5"/>
      <c r="AG274" s="6"/>
      <c r="AH274" s="6"/>
      <c r="AI274" s="6"/>
      <c r="AJ274" s="6"/>
      <c r="AK274" s="6"/>
      <c r="AL274" s="6">
        <v>1</v>
      </c>
      <c r="AM274" s="6"/>
      <c r="AN274" s="6">
        <v>1</v>
      </c>
      <c r="AO274" s="6"/>
      <c r="AP274" s="6"/>
      <c r="AQ274" s="6"/>
      <c r="AR274" s="6"/>
      <c r="AS274" s="6"/>
      <c r="AT274" s="6"/>
      <c r="AU274" s="6"/>
      <c r="AV274" s="6"/>
      <c r="AW274" s="6">
        <v>2</v>
      </c>
      <c r="AX274" s="6"/>
      <c r="AY274" s="11">
        <f t="shared" si="8"/>
        <v>6</v>
      </c>
      <c r="AZ274" s="42" t="s">
        <v>18</v>
      </c>
      <c r="BA274" s="6"/>
    </row>
    <row r="275" spans="1:53" s="2" customFormat="1" ht="11.25">
      <c r="A275" s="3" t="s">
        <v>250</v>
      </c>
      <c r="B275" s="4" t="s">
        <v>63</v>
      </c>
      <c r="C275" s="4" t="s">
        <v>8</v>
      </c>
      <c r="D275" s="6">
        <v>10</v>
      </c>
      <c r="E275" s="5"/>
      <c r="F275" s="6"/>
      <c r="G275" s="6">
        <v>2</v>
      </c>
      <c r="H275" s="6"/>
      <c r="I275" s="6"/>
      <c r="J275" s="6">
        <v>1</v>
      </c>
      <c r="K275" s="6"/>
      <c r="L275" s="6"/>
      <c r="M275" s="6"/>
      <c r="N275" s="6">
        <v>1</v>
      </c>
      <c r="O275" s="6"/>
      <c r="P275" s="6"/>
      <c r="Q275" s="6"/>
      <c r="R275" s="6"/>
      <c r="S275" s="6"/>
      <c r="T275" s="6"/>
      <c r="U275" s="6"/>
      <c r="V275" s="7"/>
      <c r="W275" s="6"/>
      <c r="X275" s="6"/>
      <c r="Y275" s="6"/>
      <c r="Z275" s="6"/>
      <c r="AA275" s="6"/>
      <c r="AB275" s="6"/>
      <c r="AC275" s="6"/>
      <c r="AD275" s="6"/>
      <c r="AE275" s="6"/>
      <c r="AF275" s="5"/>
      <c r="AG275" s="6"/>
      <c r="AH275" s="6"/>
      <c r="AI275" s="6"/>
      <c r="AJ275" s="6"/>
      <c r="AK275" s="6"/>
      <c r="AL275" s="6">
        <v>1</v>
      </c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>
        <v>2</v>
      </c>
      <c r="AX275" s="6"/>
      <c r="AY275" s="11">
        <f t="shared" si="8"/>
        <v>17</v>
      </c>
      <c r="AZ275" s="42" t="s">
        <v>18</v>
      </c>
      <c r="BA275" s="11"/>
    </row>
    <row r="276" spans="1:53" s="2" customFormat="1" ht="11.25">
      <c r="A276" s="3" t="s">
        <v>251</v>
      </c>
      <c r="B276" s="4" t="s">
        <v>63</v>
      </c>
      <c r="C276" s="4" t="s">
        <v>131</v>
      </c>
      <c r="D276" s="6"/>
      <c r="E276" s="5"/>
      <c r="F276" s="6"/>
      <c r="G276" s="6">
        <v>3</v>
      </c>
      <c r="H276" s="6"/>
      <c r="I276" s="6"/>
      <c r="J276" s="6">
        <v>1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7"/>
      <c r="W276" s="6"/>
      <c r="X276" s="6"/>
      <c r="Y276" s="6"/>
      <c r="Z276" s="6"/>
      <c r="AA276" s="6"/>
      <c r="AB276" s="6"/>
      <c r="AC276" s="6"/>
      <c r="AD276" s="6"/>
      <c r="AE276" s="6"/>
      <c r="AF276" s="5"/>
      <c r="AG276" s="6"/>
      <c r="AH276" s="6"/>
      <c r="AI276" s="6"/>
      <c r="AJ276" s="6"/>
      <c r="AK276" s="6"/>
      <c r="AL276" s="6">
        <v>1</v>
      </c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>
        <v>2</v>
      </c>
      <c r="AX276" s="6"/>
      <c r="AY276" s="11">
        <f t="shared" si="8"/>
        <v>7</v>
      </c>
      <c r="AZ276" s="42" t="s">
        <v>18</v>
      </c>
      <c r="BA276" s="11"/>
    </row>
    <row r="277" spans="1:53" s="2" customFormat="1" ht="11.25">
      <c r="A277" s="3" t="s">
        <v>252</v>
      </c>
      <c r="B277" s="4" t="s">
        <v>63</v>
      </c>
      <c r="C277" s="4" t="s">
        <v>96</v>
      </c>
      <c r="D277" s="6"/>
      <c r="E277" s="5"/>
      <c r="F277" s="6"/>
      <c r="G277" s="6">
        <v>5</v>
      </c>
      <c r="H277" s="6"/>
      <c r="I277" s="6"/>
      <c r="J277" s="6">
        <v>1</v>
      </c>
      <c r="K277" s="6"/>
      <c r="L277" s="6"/>
      <c r="M277" s="6"/>
      <c r="N277" s="6">
        <v>1</v>
      </c>
      <c r="O277" s="6"/>
      <c r="P277" s="6"/>
      <c r="Q277" s="6">
        <v>1</v>
      </c>
      <c r="R277" s="6"/>
      <c r="S277" s="6"/>
      <c r="T277" s="6"/>
      <c r="U277" s="6">
        <v>1</v>
      </c>
      <c r="V277" s="7"/>
      <c r="W277" s="6"/>
      <c r="X277" s="6"/>
      <c r="Y277" s="6"/>
      <c r="Z277" s="6"/>
      <c r="AA277" s="6"/>
      <c r="AB277" s="6"/>
      <c r="AC277" s="6"/>
      <c r="AD277" s="6"/>
      <c r="AE277" s="6"/>
      <c r="AF277" s="5"/>
      <c r="AG277" s="6"/>
      <c r="AH277" s="6"/>
      <c r="AI277" s="6"/>
      <c r="AJ277" s="6"/>
      <c r="AK277" s="6"/>
      <c r="AL277" s="6">
        <v>1</v>
      </c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>
        <v>2</v>
      </c>
      <c r="AX277" s="6"/>
      <c r="AY277" s="11">
        <f t="shared" si="8"/>
        <v>12</v>
      </c>
      <c r="AZ277" s="42" t="s">
        <v>18</v>
      </c>
      <c r="BA277" s="11"/>
    </row>
    <row r="278" spans="1:53" s="2" customFormat="1" ht="11.25">
      <c r="A278" s="3" t="s">
        <v>253</v>
      </c>
      <c r="B278" s="4" t="s">
        <v>139</v>
      </c>
      <c r="C278" s="4" t="str">
        <f>"100X100 MM"</f>
        <v>100X100 MM</v>
      </c>
      <c r="D278" s="6">
        <v>10</v>
      </c>
      <c r="E278" s="5">
        <v>1</v>
      </c>
      <c r="F278" s="6"/>
      <c r="G278" s="6">
        <v>5</v>
      </c>
      <c r="H278" s="6"/>
      <c r="I278" s="6"/>
      <c r="J278" s="6">
        <v>5</v>
      </c>
      <c r="K278" s="6"/>
      <c r="L278" s="6"/>
      <c r="M278" s="6"/>
      <c r="N278" s="6"/>
      <c r="O278" s="6"/>
      <c r="P278" s="6"/>
      <c r="Q278" s="6"/>
      <c r="R278" s="6"/>
      <c r="S278" s="6"/>
      <c r="T278" s="6">
        <v>2</v>
      </c>
      <c r="U278" s="6">
        <v>1</v>
      </c>
      <c r="V278" s="7"/>
      <c r="W278" s="6"/>
      <c r="X278" s="6"/>
      <c r="Y278" s="6"/>
      <c r="Z278" s="6"/>
      <c r="AA278" s="6"/>
      <c r="AB278" s="6"/>
      <c r="AC278" s="6"/>
      <c r="AD278" s="6"/>
      <c r="AE278" s="6"/>
      <c r="AF278" s="5"/>
      <c r="AG278" s="6"/>
      <c r="AH278" s="6"/>
      <c r="AI278" s="6"/>
      <c r="AJ278" s="6">
        <v>5</v>
      </c>
      <c r="AK278" s="6">
        <v>5</v>
      </c>
      <c r="AL278" s="6">
        <v>5</v>
      </c>
      <c r="AM278" s="6">
        <v>5</v>
      </c>
      <c r="AN278" s="6"/>
      <c r="AO278" s="6"/>
      <c r="AP278" s="6"/>
      <c r="AQ278" s="6">
        <v>2</v>
      </c>
      <c r="AR278" s="6"/>
      <c r="AS278" s="6"/>
      <c r="AT278" s="6"/>
      <c r="AU278" s="6"/>
      <c r="AV278" s="6">
        <v>1</v>
      </c>
      <c r="AW278" s="6">
        <v>4</v>
      </c>
      <c r="AX278" s="6"/>
      <c r="AY278" s="11">
        <f t="shared" si="8"/>
        <v>51</v>
      </c>
      <c r="AZ278" s="42" t="s">
        <v>18</v>
      </c>
      <c r="BA278" s="11"/>
    </row>
    <row r="279" spans="1:53" s="2" customFormat="1" ht="11.25">
      <c r="A279" s="3" t="s">
        <v>254</v>
      </c>
      <c r="B279" s="4" t="s">
        <v>13</v>
      </c>
      <c r="C279" s="4" t="str">
        <f>"050X040 MM"</f>
        <v>050X040 MM</v>
      </c>
      <c r="D279" s="6"/>
      <c r="E279" s="5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7"/>
      <c r="W279" s="6"/>
      <c r="X279" s="6"/>
      <c r="Y279" s="6"/>
      <c r="Z279" s="6"/>
      <c r="AA279" s="6"/>
      <c r="AB279" s="6"/>
      <c r="AC279" s="6"/>
      <c r="AD279" s="6"/>
      <c r="AE279" s="6"/>
      <c r="AF279" s="5"/>
      <c r="AG279" s="6"/>
      <c r="AH279" s="6"/>
      <c r="AI279" s="6"/>
      <c r="AJ279" s="6"/>
      <c r="AK279" s="6"/>
      <c r="AL279" s="6">
        <v>5</v>
      </c>
      <c r="AM279" s="6"/>
      <c r="AN279" s="6"/>
      <c r="AO279" s="6">
        <v>2</v>
      </c>
      <c r="AP279" s="6">
        <v>2</v>
      </c>
      <c r="AQ279" s="6"/>
      <c r="AR279" s="6"/>
      <c r="AS279" s="6"/>
      <c r="AT279" s="6"/>
      <c r="AU279" s="6">
        <v>1</v>
      </c>
      <c r="AV279" s="6"/>
      <c r="AW279" s="6"/>
      <c r="AX279" s="6"/>
      <c r="AY279" s="11">
        <f t="shared" si="8"/>
        <v>10</v>
      </c>
      <c r="AZ279" s="42" t="s">
        <v>18</v>
      </c>
      <c r="BA279" s="11"/>
    </row>
    <row r="280" spans="1:53" s="4" customFormat="1" ht="11.25">
      <c r="A280" s="3" t="s">
        <v>255</v>
      </c>
      <c r="B280" s="4" t="s">
        <v>13</v>
      </c>
      <c r="C280" s="4" t="str">
        <f>"075X075 MM"</f>
        <v>075X075 MM</v>
      </c>
      <c r="D280" s="6"/>
      <c r="E280" s="5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7"/>
      <c r="W280" s="6"/>
      <c r="X280" s="6"/>
      <c r="Y280" s="6"/>
      <c r="Z280" s="6"/>
      <c r="AA280" s="6"/>
      <c r="AB280" s="6"/>
      <c r="AC280" s="6"/>
      <c r="AD280" s="6"/>
      <c r="AE280" s="6"/>
      <c r="AF280" s="5"/>
      <c r="AG280" s="6"/>
      <c r="AH280" s="6"/>
      <c r="AI280" s="6"/>
      <c r="AJ280" s="6"/>
      <c r="AK280" s="6"/>
      <c r="AL280" s="6">
        <v>5</v>
      </c>
      <c r="AM280" s="6"/>
      <c r="AN280" s="6">
        <v>2</v>
      </c>
      <c r="AO280" s="6">
        <v>2</v>
      </c>
      <c r="AP280" s="6">
        <v>2</v>
      </c>
      <c r="AQ280" s="6">
        <v>3</v>
      </c>
      <c r="AR280" s="6"/>
      <c r="AS280" s="6"/>
      <c r="AT280" s="6"/>
      <c r="AU280" s="6"/>
      <c r="AV280" s="6"/>
      <c r="AW280" s="6"/>
      <c r="AX280" s="6"/>
      <c r="AY280" s="11">
        <f t="shared" si="8"/>
        <v>14</v>
      </c>
      <c r="AZ280" s="42" t="s">
        <v>18</v>
      </c>
      <c r="BA280" s="6"/>
    </row>
    <row r="281" spans="1:53" s="2" customFormat="1" ht="11.25">
      <c r="A281" s="3" t="s">
        <v>256</v>
      </c>
      <c r="B281" s="2" t="s">
        <v>128</v>
      </c>
      <c r="D281" s="6"/>
      <c r="E281" s="5"/>
      <c r="F281" s="6"/>
      <c r="G281" s="6">
        <v>1</v>
      </c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>
        <v>1</v>
      </c>
      <c r="U281" s="6"/>
      <c r="V281" s="7"/>
      <c r="W281" s="6"/>
      <c r="X281" s="6"/>
      <c r="Y281" s="6"/>
      <c r="Z281" s="6"/>
      <c r="AA281" s="6"/>
      <c r="AB281" s="6"/>
      <c r="AC281" s="6"/>
      <c r="AD281" s="6"/>
      <c r="AE281" s="6"/>
      <c r="AF281" s="5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11">
        <f t="shared" si="8"/>
        <v>2</v>
      </c>
      <c r="AZ281" s="42" t="s">
        <v>23</v>
      </c>
      <c r="BA281" s="11"/>
    </row>
    <row r="282" spans="1:53" s="2" customFormat="1" ht="11.25">
      <c r="A282" s="3" t="s">
        <v>257</v>
      </c>
      <c r="B282" s="4" t="s">
        <v>66</v>
      </c>
      <c r="C282" s="4" t="s">
        <v>43</v>
      </c>
      <c r="D282" s="6"/>
      <c r="E282" s="5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7"/>
      <c r="W282" s="6"/>
      <c r="X282" s="6"/>
      <c r="Y282" s="6"/>
      <c r="Z282" s="6"/>
      <c r="AA282" s="6"/>
      <c r="AB282" s="6"/>
      <c r="AC282" s="6"/>
      <c r="AD282" s="6"/>
      <c r="AE282" s="6"/>
      <c r="AF282" s="5"/>
      <c r="AG282" s="6"/>
      <c r="AH282" s="6"/>
      <c r="AI282" s="6"/>
      <c r="AJ282" s="4"/>
      <c r="AK282" s="4"/>
      <c r="AL282" s="4"/>
      <c r="AM282" s="4"/>
      <c r="AN282" s="6"/>
      <c r="AO282" s="6">
        <v>10</v>
      </c>
      <c r="AP282" s="6">
        <v>10</v>
      </c>
      <c r="AQ282" s="6"/>
      <c r="AR282" s="6"/>
      <c r="AS282" s="6"/>
      <c r="AT282" s="6"/>
      <c r="AU282" s="6"/>
      <c r="AV282" s="6"/>
      <c r="AW282" s="6"/>
      <c r="AX282" s="6"/>
      <c r="AY282" s="11">
        <f t="shared" si="8"/>
        <v>20</v>
      </c>
      <c r="AZ282" s="42" t="s">
        <v>23</v>
      </c>
      <c r="BA282" s="11"/>
    </row>
    <row r="283" spans="1:53" s="4" customFormat="1" ht="11.25">
      <c r="A283" s="3" t="s">
        <v>258</v>
      </c>
      <c r="B283" s="4" t="s">
        <v>264</v>
      </c>
      <c r="C283" s="4" t="s">
        <v>265</v>
      </c>
      <c r="D283" s="6"/>
      <c r="E283" s="5"/>
      <c r="F283" s="6"/>
      <c r="G283" s="6">
        <v>1</v>
      </c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7"/>
      <c r="W283" s="6"/>
      <c r="X283" s="6"/>
      <c r="Y283" s="6"/>
      <c r="Z283" s="6"/>
      <c r="AA283" s="6"/>
      <c r="AB283" s="6"/>
      <c r="AC283" s="6"/>
      <c r="AD283" s="6"/>
      <c r="AE283" s="6"/>
      <c r="AF283" s="5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11">
        <f t="shared" si="8"/>
        <v>1</v>
      </c>
      <c r="AZ283" s="42" t="s">
        <v>18</v>
      </c>
      <c r="BA283" s="6"/>
    </row>
    <row r="284" spans="1:53" s="4" customFormat="1" ht="11.25">
      <c r="A284" s="3" t="s">
        <v>259</v>
      </c>
      <c r="B284" s="4" t="s">
        <v>22</v>
      </c>
      <c r="C284" s="4" t="s">
        <v>268</v>
      </c>
      <c r="D284" s="6">
        <v>10</v>
      </c>
      <c r="E284" s="5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7"/>
      <c r="W284" s="6"/>
      <c r="X284" s="6"/>
      <c r="Y284" s="6"/>
      <c r="Z284" s="6"/>
      <c r="AA284" s="6"/>
      <c r="AB284" s="6"/>
      <c r="AC284" s="6"/>
      <c r="AD284" s="6"/>
      <c r="AE284" s="6"/>
      <c r="AF284" s="5"/>
      <c r="AG284" s="6"/>
      <c r="AH284" s="6"/>
      <c r="AI284" s="6"/>
      <c r="AJ284" s="6">
        <v>5</v>
      </c>
      <c r="AK284" s="6">
        <v>5</v>
      </c>
      <c r="AL284" s="6">
        <v>10</v>
      </c>
      <c r="AM284" s="6">
        <v>5</v>
      </c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11">
        <f t="shared" si="8"/>
        <v>35</v>
      </c>
      <c r="AZ284" s="42" t="s">
        <v>18</v>
      </c>
      <c r="BA284" s="6"/>
    </row>
    <row r="285" spans="1:53" s="4" customFormat="1" ht="11.25">
      <c r="A285" s="3" t="s">
        <v>260</v>
      </c>
      <c r="B285" s="4" t="s">
        <v>22</v>
      </c>
      <c r="C285" s="4" t="s">
        <v>267</v>
      </c>
      <c r="D285" s="6">
        <v>10</v>
      </c>
      <c r="E285" s="6"/>
      <c r="F285" s="6"/>
      <c r="G285" s="6"/>
      <c r="H285" s="6"/>
      <c r="I285" s="6"/>
      <c r="J285" s="6">
        <v>4</v>
      </c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7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>
        <v>10</v>
      </c>
      <c r="AK285" s="6">
        <v>10</v>
      </c>
      <c r="AL285" s="6">
        <v>10</v>
      </c>
      <c r="AM285" s="6">
        <v>10</v>
      </c>
      <c r="AN285" s="6"/>
      <c r="AO285" s="6"/>
      <c r="AP285" s="6"/>
      <c r="AQ285" s="6"/>
      <c r="AR285" s="6"/>
      <c r="AS285" s="6"/>
      <c r="AT285" s="6"/>
      <c r="AU285" s="6"/>
      <c r="AV285" s="6"/>
      <c r="AW285" s="6">
        <v>10</v>
      </c>
      <c r="AX285" s="6"/>
      <c r="AY285" s="11">
        <f t="shared" si="8"/>
        <v>64</v>
      </c>
      <c r="AZ285" s="42" t="s">
        <v>18</v>
      </c>
      <c r="BA285" s="6"/>
    </row>
    <row r="286" spans="1:96" ht="11.25">
      <c r="A286" s="3" t="s">
        <v>261</v>
      </c>
      <c r="B286" s="4" t="s">
        <v>21</v>
      </c>
      <c r="C286" s="4" t="s">
        <v>269</v>
      </c>
      <c r="D286" s="6"/>
      <c r="E286" s="4"/>
      <c r="F286" s="6"/>
      <c r="G286" s="6"/>
      <c r="H286" s="6"/>
      <c r="I286" s="6"/>
      <c r="J286" s="6"/>
      <c r="K286" s="6"/>
      <c r="L286" s="6"/>
      <c r="M286" s="6"/>
      <c r="N286" s="6">
        <v>1</v>
      </c>
      <c r="O286" s="6"/>
      <c r="P286" s="6"/>
      <c r="Q286" s="6"/>
      <c r="R286" s="6"/>
      <c r="S286" s="6"/>
      <c r="T286" s="6"/>
      <c r="U286" s="6"/>
      <c r="V286" s="7"/>
      <c r="W286" s="6"/>
      <c r="X286" s="6"/>
      <c r="Y286" s="6"/>
      <c r="Z286" s="6"/>
      <c r="AA286" s="6"/>
      <c r="AB286" s="6"/>
      <c r="AC286" s="6"/>
      <c r="AD286" s="6"/>
      <c r="AE286" s="6"/>
      <c r="AF286" s="8"/>
      <c r="AG286" s="6"/>
      <c r="AH286" s="8"/>
      <c r="AI286" s="6"/>
      <c r="AJ286" s="6"/>
      <c r="AK286" s="6"/>
      <c r="AL286" s="6">
        <v>1</v>
      </c>
      <c r="AM286" s="6"/>
      <c r="AN286" s="6"/>
      <c r="AO286" s="6"/>
      <c r="AP286" s="6"/>
      <c r="AQ286" s="6"/>
      <c r="AR286" s="9"/>
      <c r="AS286" s="9"/>
      <c r="AT286" s="6"/>
      <c r="AU286" s="6"/>
      <c r="AV286" s="6"/>
      <c r="AW286" s="6"/>
      <c r="AX286" s="6"/>
      <c r="AY286" s="11">
        <f t="shared" si="8"/>
        <v>2</v>
      </c>
      <c r="AZ286" s="42" t="s">
        <v>23</v>
      </c>
      <c r="BA286" s="11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</row>
    <row r="287" spans="1:96" ht="11.25">
      <c r="A287" s="3" t="s">
        <v>262</v>
      </c>
      <c r="B287" s="2" t="s">
        <v>56</v>
      </c>
      <c r="C287" s="2" t="s">
        <v>44</v>
      </c>
      <c r="D287" s="6">
        <v>20</v>
      </c>
      <c r="E287" s="4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7"/>
      <c r="W287" s="6"/>
      <c r="X287" s="6"/>
      <c r="Y287" s="6"/>
      <c r="Z287" s="6"/>
      <c r="AA287" s="6"/>
      <c r="AB287" s="6"/>
      <c r="AC287" s="6"/>
      <c r="AD287" s="6"/>
      <c r="AE287" s="6"/>
      <c r="AF287" s="8"/>
      <c r="AG287" s="6"/>
      <c r="AH287" s="8"/>
      <c r="AI287" s="6"/>
      <c r="AJ287" s="6"/>
      <c r="AK287" s="6"/>
      <c r="AL287" s="6"/>
      <c r="AM287" s="6"/>
      <c r="AN287" s="6"/>
      <c r="AO287" s="6"/>
      <c r="AP287" s="6"/>
      <c r="AQ287" s="6"/>
      <c r="AR287" s="9"/>
      <c r="AS287" s="9"/>
      <c r="AT287" s="6"/>
      <c r="AU287" s="6"/>
      <c r="AV287" s="6"/>
      <c r="AW287" s="6"/>
      <c r="AX287" s="6"/>
      <c r="AY287" s="11">
        <f t="shared" si="8"/>
        <v>20</v>
      </c>
      <c r="AZ287" s="42" t="s">
        <v>23</v>
      </c>
      <c r="BA287" s="11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</row>
    <row r="288" spans="1:56" ht="12" thickBot="1">
      <c r="A288" s="3" t="s">
        <v>263</v>
      </c>
      <c r="B288" s="4" t="s">
        <v>111</v>
      </c>
      <c r="C288" s="4" t="s">
        <v>141</v>
      </c>
      <c r="D288" s="6"/>
      <c r="E288" s="4"/>
      <c r="F288" s="6"/>
      <c r="G288" s="6"/>
      <c r="H288" s="6"/>
      <c r="I288" s="6"/>
      <c r="J288" s="6"/>
      <c r="K288" s="6"/>
      <c r="L288" s="6"/>
      <c r="M288" s="6"/>
      <c r="N288" s="6">
        <v>1</v>
      </c>
      <c r="O288" s="6"/>
      <c r="P288" s="6"/>
      <c r="Q288" s="6"/>
      <c r="R288" s="6"/>
      <c r="S288" s="6"/>
      <c r="T288" s="6"/>
      <c r="U288" s="6"/>
      <c r="V288" s="7"/>
      <c r="W288" s="6"/>
      <c r="X288" s="6"/>
      <c r="Y288" s="6"/>
      <c r="Z288" s="6"/>
      <c r="AA288" s="6"/>
      <c r="AB288" s="6"/>
      <c r="AC288" s="6"/>
      <c r="AD288" s="6"/>
      <c r="AE288" s="6"/>
      <c r="AF288" s="8"/>
      <c r="AG288" s="6"/>
      <c r="AH288" s="8"/>
      <c r="AI288" s="6"/>
      <c r="AJ288" s="6"/>
      <c r="AK288" s="6"/>
      <c r="AL288" s="6"/>
      <c r="AM288" s="6"/>
      <c r="AN288" s="6"/>
      <c r="AO288" s="6"/>
      <c r="AP288" s="6"/>
      <c r="AQ288" s="6">
        <v>1</v>
      </c>
      <c r="AR288" s="9"/>
      <c r="AS288" s="9"/>
      <c r="AT288" s="6"/>
      <c r="AU288" s="6"/>
      <c r="AV288" s="6"/>
      <c r="AW288" s="6">
        <v>1</v>
      </c>
      <c r="AX288" s="6"/>
      <c r="AY288" s="11">
        <f t="shared" si="8"/>
        <v>3</v>
      </c>
      <c r="AZ288" s="42" t="s">
        <v>18</v>
      </c>
      <c r="BA288" s="11"/>
      <c r="BB288" s="33"/>
      <c r="BC288" s="2"/>
      <c r="BD288" s="2"/>
    </row>
    <row r="289" spans="1:55" ht="12" thickBot="1">
      <c r="A289" s="31" t="s">
        <v>308</v>
      </c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5"/>
      <c r="BC289" s="32"/>
    </row>
    <row r="290" spans="1:56" ht="11.25" hidden="1">
      <c r="A290" s="25"/>
      <c r="B290" s="2"/>
      <c r="C290" s="2"/>
      <c r="AF290" s="14"/>
      <c r="AG290" s="11"/>
      <c r="AI290" s="11"/>
      <c r="AK290" s="11"/>
      <c r="BA290" s="11"/>
      <c r="BB290" s="34"/>
      <c r="BC290" s="2"/>
      <c r="BD290" s="2"/>
    </row>
    <row r="291" spans="1:56" ht="11.25" hidden="1">
      <c r="A291" s="25"/>
      <c r="B291" s="2"/>
      <c r="C291" s="2"/>
      <c r="AF291" s="14"/>
      <c r="AG291" s="11"/>
      <c r="AI291" s="11"/>
      <c r="AK291" s="11"/>
      <c r="BA291" s="11"/>
      <c r="BB291" s="2"/>
      <c r="BC291" s="2"/>
      <c r="BD291" s="2"/>
    </row>
    <row r="292" spans="1:56" ht="11.25" hidden="1">
      <c r="A292" s="25"/>
      <c r="B292" s="2"/>
      <c r="C292" s="2"/>
      <c r="AF292" s="14"/>
      <c r="AG292" s="11"/>
      <c r="AI292" s="11"/>
      <c r="AK292" s="11"/>
      <c r="BA292" s="11"/>
      <c r="BB292" s="2"/>
      <c r="BC292" s="2"/>
      <c r="BD292" s="2"/>
    </row>
    <row r="293" spans="1:56" ht="11.25" hidden="1">
      <c r="A293" s="25"/>
      <c r="B293" s="2"/>
      <c r="C293" s="2"/>
      <c r="AF293" s="14"/>
      <c r="AG293" s="11"/>
      <c r="AI293" s="11"/>
      <c r="AK293" s="11"/>
      <c r="BA293" s="11"/>
      <c r="BB293" s="2"/>
      <c r="BC293" s="2"/>
      <c r="BD293" s="2"/>
    </row>
    <row r="294" spans="1:56" ht="11.25" hidden="1">
      <c r="A294" s="25"/>
      <c r="B294" s="2"/>
      <c r="C294" s="2"/>
      <c r="AF294" s="14"/>
      <c r="AG294" s="11"/>
      <c r="AI294" s="11"/>
      <c r="AK294" s="11"/>
      <c r="BA294" s="11"/>
      <c r="BB294" s="2"/>
      <c r="BC294" s="2"/>
      <c r="BD294" s="2"/>
    </row>
    <row r="295" spans="1:56" ht="11.25" hidden="1">
      <c r="A295" s="25"/>
      <c r="B295" s="2"/>
      <c r="C295" s="2"/>
      <c r="AF295" s="14"/>
      <c r="AG295" s="11"/>
      <c r="AI295" s="11"/>
      <c r="AK295" s="11"/>
      <c r="BA295" s="11"/>
      <c r="BB295" s="2"/>
      <c r="BC295" s="2"/>
      <c r="BD295" s="2"/>
    </row>
    <row r="296" spans="1:56" ht="11.25" hidden="1">
      <c r="A296" s="25"/>
      <c r="B296" s="2"/>
      <c r="C296" s="2"/>
      <c r="AF296" s="14"/>
      <c r="AG296" s="11"/>
      <c r="AI296" s="11"/>
      <c r="AK296" s="11"/>
      <c r="BA296" s="11"/>
      <c r="BB296" s="2"/>
      <c r="BC296" s="2"/>
      <c r="BD296" s="2"/>
    </row>
    <row r="297" spans="1:56" ht="11.25" hidden="1">
      <c r="A297" s="25"/>
      <c r="B297" s="2"/>
      <c r="C297" s="2"/>
      <c r="AF297" s="14"/>
      <c r="AG297" s="11"/>
      <c r="AI297" s="11"/>
      <c r="AK297" s="11"/>
      <c r="BA297" s="11"/>
      <c r="BB297" s="2"/>
      <c r="BC297" s="2"/>
      <c r="BD297" s="2"/>
    </row>
    <row r="298" spans="1:56" ht="11.25" hidden="1">
      <c r="A298" s="25"/>
      <c r="B298" s="2"/>
      <c r="C298" s="2"/>
      <c r="AF298" s="14"/>
      <c r="AG298" s="11"/>
      <c r="AI298" s="11"/>
      <c r="AK298" s="11"/>
      <c r="BA298" s="11"/>
      <c r="BB298" s="2"/>
      <c r="BC298" s="2"/>
      <c r="BD298" s="2"/>
    </row>
    <row r="299" spans="1:56" ht="11.25" hidden="1">
      <c r="A299" s="25"/>
      <c r="B299" s="2"/>
      <c r="C299" s="2"/>
      <c r="AF299" s="14"/>
      <c r="AG299" s="11"/>
      <c r="AI299" s="11"/>
      <c r="AK299" s="11"/>
      <c r="BA299" s="11"/>
      <c r="BB299" s="2"/>
      <c r="BC299" s="2"/>
      <c r="BD299" s="2"/>
    </row>
    <row r="300" spans="1:56" ht="11.25" hidden="1">
      <c r="A300" s="25"/>
      <c r="B300" s="2"/>
      <c r="C300" s="2"/>
      <c r="AF300" s="14"/>
      <c r="AG300" s="11"/>
      <c r="AI300" s="11"/>
      <c r="AK300" s="11"/>
      <c r="BA300" s="11"/>
      <c r="BB300" s="2"/>
      <c r="BC300" s="2"/>
      <c r="BD300" s="2"/>
    </row>
    <row r="301" spans="1:56" ht="11.25" hidden="1">
      <c r="A301" s="25"/>
      <c r="B301" s="2"/>
      <c r="C301" s="2"/>
      <c r="AF301" s="14"/>
      <c r="AG301" s="11"/>
      <c r="AI301" s="11"/>
      <c r="AK301" s="11"/>
      <c r="BA301" s="11"/>
      <c r="BB301" s="2"/>
      <c r="BC301" s="2"/>
      <c r="BD301" s="2"/>
    </row>
    <row r="302" spans="1:56" ht="11.25" hidden="1">
      <c r="A302" s="25"/>
      <c r="B302" s="2"/>
      <c r="C302" s="2"/>
      <c r="AF302" s="14"/>
      <c r="AG302" s="11"/>
      <c r="AI302" s="11"/>
      <c r="AK302" s="11"/>
      <c r="BA302" s="11"/>
      <c r="BB302" s="2"/>
      <c r="BC302" s="2"/>
      <c r="BD302" s="2"/>
    </row>
    <row r="303" spans="1:56" ht="11.25" hidden="1">
      <c r="A303" s="25"/>
      <c r="B303" s="2"/>
      <c r="C303" s="2"/>
      <c r="AF303" s="14"/>
      <c r="AG303" s="11"/>
      <c r="AI303" s="11"/>
      <c r="AK303" s="11"/>
      <c r="BA303" s="11"/>
      <c r="BB303" s="2"/>
      <c r="BC303" s="2"/>
      <c r="BD303" s="2"/>
    </row>
    <row r="304" spans="1:56" ht="11.25" hidden="1">
      <c r="A304" s="25"/>
      <c r="B304" s="2"/>
      <c r="C304" s="2"/>
      <c r="AF304" s="14"/>
      <c r="AG304" s="11"/>
      <c r="AI304" s="11"/>
      <c r="AK304" s="11"/>
      <c r="BA304" s="11"/>
      <c r="BB304" s="2"/>
      <c r="BC304" s="2"/>
      <c r="BD304" s="2"/>
    </row>
    <row r="305" spans="1:56" ht="11.25" hidden="1">
      <c r="A305" s="25"/>
      <c r="B305" s="2"/>
      <c r="C305" s="2"/>
      <c r="AF305" s="14"/>
      <c r="AG305" s="11"/>
      <c r="AI305" s="11"/>
      <c r="AK305" s="11"/>
      <c r="BA305" s="11"/>
      <c r="BB305" s="2"/>
      <c r="BC305" s="2"/>
      <c r="BD305" s="2"/>
    </row>
    <row r="306" spans="1:56" ht="11.25" hidden="1">
      <c r="A306" s="25"/>
      <c r="B306" s="2"/>
      <c r="C306" s="2"/>
      <c r="AF306" s="14"/>
      <c r="AG306" s="11"/>
      <c r="AI306" s="11"/>
      <c r="AK306" s="11"/>
      <c r="BA306" s="11"/>
      <c r="BB306" s="2"/>
      <c r="BC306" s="2"/>
      <c r="BD306" s="2"/>
    </row>
    <row r="307" spans="1:56" ht="11.25" hidden="1">
      <c r="A307" s="25"/>
      <c r="B307" s="2"/>
      <c r="C307" s="2"/>
      <c r="AF307" s="14"/>
      <c r="AG307" s="11"/>
      <c r="AI307" s="11"/>
      <c r="AK307" s="11"/>
      <c r="BA307" s="11"/>
      <c r="BB307" s="2"/>
      <c r="BC307" s="2"/>
      <c r="BD307" s="2"/>
    </row>
    <row r="308" spans="32:56" ht="11.25" hidden="1">
      <c r="AF308" s="14"/>
      <c r="AG308" s="11"/>
      <c r="AI308" s="11"/>
      <c r="AK308" s="11"/>
      <c r="BA308" s="11"/>
      <c r="BB308" s="2"/>
      <c r="BC308" s="2"/>
      <c r="BD308" s="2"/>
    </row>
    <row r="309" spans="32:56" ht="11.25" hidden="1">
      <c r="AF309" s="14"/>
      <c r="AG309" s="11"/>
      <c r="AI309" s="11"/>
      <c r="AK309" s="11"/>
      <c r="BA309" s="11"/>
      <c r="BB309" s="2"/>
      <c r="BC309" s="2"/>
      <c r="BD309" s="2"/>
    </row>
    <row r="310" spans="32:56" ht="11.25" hidden="1">
      <c r="AF310" s="14"/>
      <c r="AG310" s="11"/>
      <c r="AI310" s="11"/>
      <c r="AK310" s="11"/>
      <c r="BA310" s="11"/>
      <c r="BB310" s="2"/>
      <c r="BC310" s="2"/>
      <c r="BD310" s="2"/>
    </row>
    <row r="311" spans="32:56" ht="11.25" hidden="1">
      <c r="AF311" s="14"/>
      <c r="AG311" s="11"/>
      <c r="AI311" s="11"/>
      <c r="AK311" s="11"/>
      <c r="BA311" s="11"/>
      <c r="BB311" s="2"/>
      <c r="BC311" s="2"/>
      <c r="BD311" s="2"/>
    </row>
    <row r="312" spans="32:56" ht="11.25" hidden="1">
      <c r="AF312" s="14"/>
      <c r="AG312" s="11"/>
      <c r="AI312" s="11"/>
      <c r="AK312" s="11"/>
      <c r="BA312" s="11"/>
      <c r="BB312" s="2"/>
      <c r="BC312" s="2"/>
      <c r="BD312" s="2"/>
    </row>
    <row r="313" spans="32:56" ht="11.25" hidden="1">
      <c r="AF313" s="14"/>
      <c r="AG313" s="11"/>
      <c r="AI313" s="11"/>
      <c r="AK313" s="11"/>
      <c r="BA313" s="11"/>
      <c r="BB313" s="2"/>
      <c r="BC313" s="2"/>
      <c r="BD313" s="2"/>
    </row>
    <row r="314" spans="32:56" ht="11.25" hidden="1">
      <c r="AF314" s="14"/>
      <c r="AG314" s="11"/>
      <c r="AI314" s="11"/>
      <c r="AK314" s="11"/>
      <c r="BA314" s="11"/>
      <c r="BB314" s="2"/>
      <c r="BC314" s="2"/>
      <c r="BD314" s="2"/>
    </row>
    <row r="315" spans="32:56" ht="11.25" hidden="1">
      <c r="AF315" s="14"/>
      <c r="AG315" s="11"/>
      <c r="AI315" s="11"/>
      <c r="AK315" s="11"/>
      <c r="BA315" s="11"/>
      <c r="BB315" s="2"/>
      <c r="BC315" s="2"/>
      <c r="BD315" s="2"/>
    </row>
    <row r="316" spans="32:56" ht="11.25" hidden="1">
      <c r="AF316" s="14"/>
      <c r="AG316" s="11"/>
      <c r="AI316" s="11"/>
      <c r="AK316" s="11"/>
      <c r="BA316" s="11"/>
      <c r="BB316" s="2"/>
      <c r="BC316" s="2"/>
      <c r="BD316" s="2"/>
    </row>
    <row r="317" spans="32:56" ht="11.25" hidden="1">
      <c r="AF317" s="14"/>
      <c r="AG317" s="11"/>
      <c r="AI317" s="11"/>
      <c r="AK317" s="11"/>
      <c r="BA317" s="11"/>
      <c r="BB317" s="2"/>
      <c r="BC317" s="2"/>
      <c r="BD317" s="2"/>
    </row>
    <row r="318" spans="32:56" ht="11.25" hidden="1">
      <c r="AF318" s="14"/>
      <c r="AG318" s="11"/>
      <c r="AI318" s="11"/>
      <c r="AK318" s="11"/>
      <c r="BA318" s="11"/>
      <c r="BB318" s="2"/>
      <c r="BC318" s="2"/>
      <c r="BD318" s="2"/>
    </row>
    <row r="319" spans="32:56" ht="11.25" hidden="1">
      <c r="AF319" s="14"/>
      <c r="AG319" s="11"/>
      <c r="AI319" s="11"/>
      <c r="AK319" s="11"/>
      <c r="BA319" s="11"/>
      <c r="BB319" s="2"/>
      <c r="BC319" s="2"/>
      <c r="BD319" s="2"/>
    </row>
    <row r="320" spans="32:56" ht="11.25" hidden="1">
      <c r="AF320" s="14"/>
      <c r="AG320" s="11"/>
      <c r="AI320" s="11"/>
      <c r="AK320" s="11"/>
      <c r="BA320" s="11"/>
      <c r="BB320" s="2"/>
      <c r="BC320" s="2"/>
      <c r="BD320" s="2"/>
    </row>
    <row r="321" spans="32:56" ht="11.25" hidden="1">
      <c r="AF321" s="14"/>
      <c r="AG321" s="11"/>
      <c r="AI321" s="11"/>
      <c r="AK321" s="11"/>
      <c r="BA321" s="11"/>
      <c r="BB321" s="2"/>
      <c r="BC321" s="2"/>
      <c r="BD321" s="2"/>
    </row>
    <row r="322" spans="32:56" ht="11.25" hidden="1">
      <c r="AF322" s="14"/>
      <c r="AG322" s="11"/>
      <c r="AI322" s="11"/>
      <c r="AK322" s="11"/>
      <c r="BA322" s="11"/>
      <c r="BB322" s="2"/>
      <c r="BC322" s="2"/>
      <c r="BD322" s="2"/>
    </row>
    <row r="323" spans="32:56" ht="11.25" hidden="1">
      <c r="AF323" s="14"/>
      <c r="AG323" s="11"/>
      <c r="AI323" s="11"/>
      <c r="AK323" s="11"/>
      <c r="BA323" s="11"/>
      <c r="BB323" s="2"/>
      <c r="BC323" s="2"/>
      <c r="BD323" s="2"/>
    </row>
    <row r="324" spans="32:56" ht="11.25" hidden="1">
      <c r="AF324" s="14"/>
      <c r="AG324" s="11"/>
      <c r="AI324" s="11"/>
      <c r="AK324" s="11"/>
      <c r="BA324" s="11"/>
      <c r="BB324" s="2"/>
      <c r="BC324" s="2"/>
      <c r="BD324" s="2"/>
    </row>
    <row r="325" spans="32:56" ht="11.25" hidden="1">
      <c r="AF325" s="14"/>
      <c r="AG325" s="11"/>
      <c r="AI325" s="11"/>
      <c r="AK325" s="11"/>
      <c r="BA325" s="11"/>
      <c r="BB325" s="2"/>
      <c r="BC325" s="2"/>
      <c r="BD325" s="2"/>
    </row>
    <row r="326" spans="32:56" ht="11.25" hidden="1">
      <c r="AF326" s="14"/>
      <c r="AG326" s="11"/>
      <c r="AI326" s="11"/>
      <c r="AK326" s="11"/>
      <c r="BA326" s="11"/>
      <c r="BB326" s="2"/>
      <c r="BC326" s="2"/>
      <c r="BD326" s="2"/>
    </row>
    <row r="327" spans="32:56" ht="11.25" hidden="1">
      <c r="AF327" s="14"/>
      <c r="AG327" s="11"/>
      <c r="AI327" s="11"/>
      <c r="AK327" s="11"/>
      <c r="BA327" s="11"/>
      <c r="BB327" s="2"/>
      <c r="BC327" s="2"/>
      <c r="BD327" s="2"/>
    </row>
    <row r="328" spans="32:56" ht="11.25" hidden="1">
      <c r="AF328" s="14"/>
      <c r="AG328" s="11"/>
      <c r="AI328" s="11"/>
      <c r="AK328" s="11"/>
      <c r="BA328" s="11"/>
      <c r="BB328" s="2"/>
      <c r="BC328" s="2"/>
      <c r="BD328" s="2"/>
    </row>
    <row r="329" spans="32:56" ht="11.25" hidden="1">
      <c r="AF329" s="14"/>
      <c r="AG329" s="11"/>
      <c r="AI329" s="11"/>
      <c r="AK329" s="11"/>
      <c r="BA329" s="11"/>
      <c r="BB329" s="2"/>
      <c r="BC329" s="2"/>
      <c r="BD329" s="2"/>
    </row>
    <row r="330" spans="32:56" ht="11.25" hidden="1">
      <c r="AF330" s="14"/>
      <c r="AG330" s="11"/>
      <c r="AI330" s="11"/>
      <c r="AK330" s="11"/>
      <c r="BA330" s="11"/>
      <c r="BB330" s="2"/>
      <c r="BC330" s="2"/>
      <c r="BD330" s="2"/>
    </row>
    <row r="331" spans="32:56" ht="11.25" hidden="1">
      <c r="AF331" s="14"/>
      <c r="AG331" s="11"/>
      <c r="AI331" s="11"/>
      <c r="AK331" s="11"/>
      <c r="BA331" s="11"/>
      <c r="BB331" s="2"/>
      <c r="BC331" s="2"/>
      <c r="BD331" s="2"/>
    </row>
    <row r="332" spans="32:56" ht="11.25" hidden="1">
      <c r="AF332" s="14"/>
      <c r="AG332" s="11"/>
      <c r="AI332" s="11"/>
      <c r="AK332" s="11"/>
      <c r="BA332" s="11"/>
      <c r="BB332" s="2"/>
      <c r="BC332" s="2"/>
      <c r="BD332" s="2"/>
    </row>
    <row r="333" spans="32:56" ht="11.25" hidden="1">
      <c r="AF333" s="14"/>
      <c r="AG333" s="11"/>
      <c r="AI333" s="11"/>
      <c r="AK333" s="11"/>
      <c r="BA333" s="11"/>
      <c r="BB333" s="2"/>
      <c r="BC333" s="2"/>
      <c r="BD333" s="2"/>
    </row>
    <row r="334" spans="32:56" ht="11.25" hidden="1">
      <c r="AF334" s="14"/>
      <c r="AG334" s="11"/>
      <c r="AI334" s="11"/>
      <c r="AK334" s="11"/>
      <c r="BA334" s="11"/>
      <c r="BB334" s="2"/>
      <c r="BC334" s="2"/>
      <c r="BD334" s="2"/>
    </row>
    <row r="335" spans="32:56" ht="11.25" hidden="1">
      <c r="AF335" s="14"/>
      <c r="AG335" s="11"/>
      <c r="AI335" s="11"/>
      <c r="AK335" s="11"/>
      <c r="BA335" s="11"/>
      <c r="BB335" s="2"/>
      <c r="BC335" s="2"/>
      <c r="BD335" s="2"/>
    </row>
    <row r="336" spans="32:56" ht="11.25" hidden="1">
      <c r="AF336" s="14"/>
      <c r="AG336" s="11"/>
      <c r="AI336" s="11"/>
      <c r="AK336" s="11"/>
      <c r="BA336" s="11"/>
      <c r="BB336" s="2"/>
      <c r="BC336" s="2"/>
      <c r="BD336" s="2"/>
    </row>
    <row r="337" spans="32:56" ht="11.25" hidden="1">
      <c r="AF337" s="14"/>
      <c r="AG337" s="11"/>
      <c r="AI337" s="11"/>
      <c r="AK337" s="11"/>
      <c r="BA337" s="11"/>
      <c r="BB337" s="2"/>
      <c r="BC337" s="2"/>
      <c r="BD337" s="2"/>
    </row>
    <row r="338" spans="32:56" ht="11.25" hidden="1">
      <c r="AF338" s="14"/>
      <c r="AG338" s="11"/>
      <c r="AI338" s="11"/>
      <c r="AK338" s="11"/>
      <c r="BA338" s="11"/>
      <c r="BB338" s="2"/>
      <c r="BC338" s="2"/>
      <c r="BD338" s="2"/>
    </row>
    <row r="339" spans="32:56" ht="11.25" hidden="1">
      <c r="AF339" s="14"/>
      <c r="AG339" s="11"/>
      <c r="AI339" s="11"/>
      <c r="AK339" s="11"/>
      <c r="BA339" s="11"/>
      <c r="BB339" s="2"/>
      <c r="BC339" s="2"/>
      <c r="BD339" s="2"/>
    </row>
    <row r="340" spans="32:56" ht="11.25" hidden="1">
      <c r="AF340" s="14"/>
      <c r="AG340" s="11"/>
      <c r="AI340" s="11"/>
      <c r="AK340" s="11"/>
      <c r="BA340" s="11"/>
      <c r="BB340" s="2"/>
      <c r="BC340" s="2"/>
      <c r="BD340" s="2"/>
    </row>
    <row r="341" spans="32:56" ht="11.25" hidden="1">
      <c r="AF341" s="14"/>
      <c r="AG341" s="11"/>
      <c r="AI341" s="11"/>
      <c r="AK341" s="11"/>
      <c r="BA341" s="11"/>
      <c r="BB341" s="2"/>
      <c r="BC341" s="2"/>
      <c r="BD341" s="2"/>
    </row>
    <row r="342" spans="32:56" ht="11.25" hidden="1">
      <c r="AF342" s="14"/>
      <c r="AG342" s="11"/>
      <c r="AI342" s="11"/>
      <c r="AK342" s="11"/>
      <c r="BA342" s="11"/>
      <c r="BB342" s="2"/>
      <c r="BC342" s="2"/>
      <c r="BD342" s="2"/>
    </row>
    <row r="343" spans="32:56" ht="11.25" hidden="1">
      <c r="AF343" s="14"/>
      <c r="AG343" s="11"/>
      <c r="AI343" s="11"/>
      <c r="AK343" s="11"/>
      <c r="BA343" s="11"/>
      <c r="BB343" s="2"/>
      <c r="BC343" s="2"/>
      <c r="BD343" s="2"/>
    </row>
    <row r="344" spans="32:56" ht="11.25" hidden="1">
      <c r="AF344" s="14"/>
      <c r="AG344" s="11"/>
      <c r="AI344" s="11"/>
      <c r="AK344" s="11"/>
      <c r="BA344" s="11"/>
      <c r="BB344" s="2"/>
      <c r="BC344" s="2"/>
      <c r="BD344" s="2"/>
    </row>
    <row r="345" spans="32:56" ht="11.25" hidden="1">
      <c r="AF345" s="14"/>
      <c r="AG345" s="11"/>
      <c r="AI345" s="11"/>
      <c r="AK345" s="11"/>
      <c r="BA345" s="11"/>
      <c r="BB345" s="2"/>
      <c r="BC345" s="2"/>
      <c r="BD345" s="2"/>
    </row>
    <row r="346" spans="32:56" ht="11.25" hidden="1">
      <c r="AF346" s="14"/>
      <c r="AG346" s="11"/>
      <c r="AI346" s="11"/>
      <c r="AK346" s="11"/>
      <c r="BA346" s="11"/>
      <c r="BB346" s="2"/>
      <c r="BC346" s="2"/>
      <c r="BD346" s="2"/>
    </row>
    <row r="347" spans="32:56" ht="11.25" hidden="1">
      <c r="AF347" s="14"/>
      <c r="AG347" s="11"/>
      <c r="AI347" s="11"/>
      <c r="AK347" s="11"/>
      <c r="BA347" s="11"/>
      <c r="BB347" s="2"/>
      <c r="BC347" s="2"/>
      <c r="BD347" s="2"/>
    </row>
    <row r="348" spans="32:56" ht="11.25" hidden="1">
      <c r="AF348" s="14"/>
      <c r="AG348" s="11"/>
      <c r="AI348" s="11"/>
      <c r="AK348" s="11"/>
      <c r="BA348" s="11"/>
      <c r="BB348" s="2"/>
      <c r="BC348" s="2"/>
      <c r="BD348" s="2"/>
    </row>
    <row r="349" spans="32:56" ht="11.25" hidden="1">
      <c r="AF349" s="14"/>
      <c r="AG349" s="11"/>
      <c r="AI349" s="11"/>
      <c r="AK349" s="11"/>
      <c r="BA349" s="11"/>
      <c r="BB349" s="2"/>
      <c r="BC349" s="2"/>
      <c r="BD349" s="2"/>
    </row>
    <row r="350" spans="32:56" ht="11.25" hidden="1">
      <c r="AF350" s="14"/>
      <c r="AG350" s="11"/>
      <c r="AI350" s="11"/>
      <c r="AK350" s="11"/>
      <c r="BA350" s="11"/>
      <c r="BB350" s="2"/>
      <c r="BC350" s="2"/>
      <c r="BD350" s="2"/>
    </row>
    <row r="351" spans="32:56" ht="11.25" hidden="1">
      <c r="AF351" s="14"/>
      <c r="AG351" s="11"/>
      <c r="AI351" s="11"/>
      <c r="AK351" s="11"/>
      <c r="BA351" s="11"/>
      <c r="BB351" s="2"/>
      <c r="BC351" s="2"/>
      <c r="BD351" s="2"/>
    </row>
    <row r="352" spans="32:56" ht="11.25" hidden="1">
      <c r="AF352" s="14"/>
      <c r="AG352" s="11"/>
      <c r="AI352" s="11"/>
      <c r="AK352" s="11"/>
      <c r="BA352" s="11"/>
      <c r="BB352" s="2"/>
      <c r="BC352" s="2"/>
      <c r="BD352" s="2"/>
    </row>
    <row r="353" spans="32:56" ht="11.25" hidden="1">
      <c r="AF353" s="14"/>
      <c r="AG353" s="11"/>
      <c r="AI353" s="11"/>
      <c r="AK353" s="11"/>
      <c r="BA353" s="11"/>
      <c r="BB353" s="2"/>
      <c r="BC353" s="2"/>
      <c r="BD353" s="2"/>
    </row>
    <row r="354" spans="32:56" ht="11.25" hidden="1">
      <c r="AF354" s="14"/>
      <c r="AG354" s="11"/>
      <c r="AI354" s="11"/>
      <c r="AK354" s="11"/>
      <c r="BA354" s="11"/>
      <c r="BB354" s="2"/>
      <c r="BC354" s="2"/>
      <c r="BD354" s="2"/>
    </row>
    <row r="355" spans="32:56" ht="11.25" hidden="1">
      <c r="AF355" s="14"/>
      <c r="AG355" s="11"/>
      <c r="AI355" s="11"/>
      <c r="AK355" s="11"/>
      <c r="BA355" s="11"/>
      <c r="BB355" s="2"/>
      <c r="BC355" s="2"/>
      <c r="BD355" s="2"/>
    </row>
    <row r="356" spans="32:56" ht="11.25" hidden="1">
      <c r="AF356" s="14"/>
      <c r="AG356" s="11"/>
      <c r="AI356" s="11"/>
      <c r="AK356" s="11"/>
      <c r="BA356" s="11"/>
      <c r="BB356" s="2"/>
      <c r="BC356" s="2"/>
      <c r="BD356" s="2"/>
    </row>
    <row r="357" spans="32:56" ht="11.25" hidden="1">
      <c r="AF357" s="14"/>
      <c r="AG357" s="11"/>
      <c r="AI357" s="11"/>
      <c r="AK357" s="11"/>
      <c r="BA357" s="11"/>
      <c r="BB357" s="2"/>
      <c r="BC357" s="2"/>
      <c r="BD357" s="2"/>
    </row>
    <row r="358" spans="32:56" ht="11.25" hidden="1">
      <c r="AF358" s="14"/>
      <c r="AG358" s="11"/>
      <c r="AI358" s="11"/>
      <c r="AK358" s="11"/>
      <c r="BA358" s="11"/>
      <c r="BB358" s="2"/>
      <c r="BC358" s="2"/>
      <c r="BD358" s="2"/>
    </row>
    <row r="359" spans="32:56" ht="11.25" hidden="1">
      <c r="AF359" s="14"/>
      <c r="AG359" s="11"/>
      <c r="AI359" s="11"/>
      <c r="AK359" s="11"/>
      <c r="BA359" s="11"/>
      <c r="BB359" s="2"/>
      <c r="BC359" s="2"/>
      <c r="BD359" s="2"/>
    </row>
    <row r="360" spans="32:56" ht="11.25" hidden="1">
      <c r="AF360" s="14"/>
      <c r="AG360" s="11"/>
      <c r="AI360" s="11"/>
      <c r="AK360" s="11"/>
      <c r="BA360" s="11"/>
      <c r="BB360" s="2"/>
      <c r="BC360" s="2"/>
      <c r="BD360" s="2"/>
    </row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ht="11.25" hidden="1"/>
    <row r="409" ht="11.25" hidden="1"/>
    <row r="410" ht="11.25" hidden="1"/>
    <row r="411" ht="11.25" hidden="1"/>
    <row r="412" ht="11.25" hidden="1"/>
    <row r="413" ht="11.25" hidden="1"/>
    <row r="414" ht="11.25" hidden="1"/>
    <row r="415" ht="11.25" hidden="1"/>
    <row r="416" ht="11.25" hidden="1"/>
    <row r="417" ht="11.25" hidden="1"/>
    <row r="418" ht="11.25" hidden="1"/>
    <row r="419" ht="11.25" hidden="1"/>
    <row r="420" ht="11.25" hidden="1"/>
    <row r="421" ht="11.25" hidden="1"/>
    <row r="422" ht="11.25" hidden="1"/>
    <row r="423" ht="11.25" hidden="1"/>
    <row r="424" ht="11.25" hidden="1"/>
    <row r="425" ht="11.25" hidden="1"/>
    <row r="426" ht="11.25" hidden="1"/>
    <row r="427" ht="11.25" hidden="1"/>
    <row r="428" ht="11.25" hidden="1"/>
    <row r="429" ht="11.25" hidden="1"/>
    <row r="430" ht="11.25" hidden="1"/>
    <row r="431" ht="11.25" hidden="1"/>
    <row r="432" ht="11.25" hidden="1"/>
    <row r="433" ht="11.25" hidden="1"/>
    <row r="434" ht="11.25" hidden="1"/>
    <row r="435" ht="11.25" hidden="1"/>
    <row r="436" ht="11.25" hidden="1"/>
    <row r="437" ht="11.25" hidden="1"/>
    <row r="438" ht="11.25" hidden="1"/>
    <row r="439" ht="11.25" hidden="1"/>
    <row r="440" ht="11.25" hidden="1"/>
    <row r="441" ht="11.25" hidden="1"/>
    <row r="442" ht="11.25" hidden="1"/>
    <row r="443" ht="11.25" hidden="1"/>
    <row r="444" ht="11.25" hidden="1"/>
    <row r="445" ht="11.25" hidden="1"/>
    <row r="446" ht="11.25" hidden="1"/>
    <row r="447" ht="11.25" hidden="1"/>
    <row r="448" ht="11.25" hidden="1"/>
    <row r="449" ht="11.25" hidden="1"/>
    <row r="450" ht="11.25" hidden="1"/>
    <row r="451" ht="11.25" hidden="1"/>
    <row r="452" ht="11.25" hidden="1"/>
    <row r="453" ht="11.25" hidden="1"/>
    <row r="454" ht="11.25" hidden="1"/>
    <row r="455" ht="11.25" hidden="1"/>
    <row r="456" ht="11.25" hidden="1"/>
    <row r="457" ht="11.25" hidden="1"/>
    <row r="458" ht="11.25" hidden="1"/>
    <row r="459" ht="11.25" hidden="1"/>
    <row r="460" ht="11.25" hidden="1"/>
    <row r="461" ht="11.25" hidden="1"/>
    <row r="462" ht="11.25" hidden="1"/>
    <row r="463" ht="11.25" hidden="1"/>
    <row r="464" ht="11.25" hidden="1"/>
    <row r="465" ht="11.25" hidden="1"/>
    <row r="466" ht="11.25" hidden="1"/>
    <row r="467" ht="11.25" hidden="1"/>
    <row r="468" ht="11.25" hidden="1"/>
    <row r="469" ht="11.25" hidden="1"/>
    <row r="470" ht="11.25" hidden="1"/>
    <row r="471" ht="11.25" hidden="1"/>
    <row r="472" ht="11.25" hidden="1"/>
    <row r="473" ht="11.25" hidden="1"/>
    <row r="474" ht="11.25" hidden="1"/>
    <row r="475" ht="11.25" hidden="1"/>
    <row r="476" ht="11.25" hidden="1"/>
    <row r="477" ht="11.25" hidden="1"/>
    <row r="478" ht="11.25" hidden="1"/>
    <row r="479" ht="11.25" hidden="1"/>
    <row r="480" ht="11.25" hidden="1"/>
    <row r="481" ht="11.25" hidden="1"/>
    <row r="482" ht="11.25" hidden="1"/>
    <row r="483" ht="11.25" hidden="1"/>
    <row r="484" ht="11.25" hidden="1"/>
    <row r="485" ht="11.25" hidden="1"/>
    <row r="486" ht="11.25" hidden="1"/>
    <row r="487" ht="11.25" hidden="1"/>
    <row r="488" ht="11.25" hidden="1"/>
    <row r="489" ht="11.25" hidden="1"/>
    <row r="490" ht="11.25" hidden="1"/>
    <row r="491" ht="11.25" hidden="1"/>
    <row r="492" ht="11.25" hidden="1"/>
    <row r="493" ht="11.25" hidden="1"/>
    <row r="494" ht="11.25" hidden="1"/>
    <row r="495" ht="11.25" hidden="1"/>
    <row r="496" ht="11.25" hidden="1"/>
    <row r="497" ht="11.25" hidden="1"/>
    <row r="498" ht="11.25" hidden="1"/>
    <row r="499" ht="11.25" hidden="1"/>
    <row r="500" ht="11.25" hidden="1"/>
    <row r="501" ht="11.25" hidden="1"/>
    <row r="502" ht="11.25" hidden="1"/>
    <row r="503" ht="11.25" hidden="1"/>
    <row r="504" ht="11.25" hidden="1"/>
    <row r="505" ht="11.25" hidden="1"/>
    <row r="506" ht="11.25" hidden="1"/>
    <row r="507" ht="11.25" hidden="1"/>
    <row r="508" ht="11.25" hidden="1"/>
    <row r="509" ht="11.25" hidden="1"/>
    <row r="510" ht="11.25" hidden="1"/>
    <row r="511" ht="11.25" hidden="1"/>
    <row r="512" ht="11.25" hidden="1"/>
    <row r="513" ht="11.25" hidden="1"/>
    <row r="514" ht="11.25" hidden="1"/>
    <row r="515" ht="11.25" hidden="1"/>
    <row r="516" ht="11.25" hidden="1"/>
    <row r="517" ht="11.25" hidden="1"/>
    <row r="518" ht="11.25" hidden="1"/>
    <row r="519" ht="11.25" hidden="1"/>
    <row r="520" ht="11.25" hidden="1"/>
    <row r="521" ht="11.25" hidden="1"/>
    <row r="522" ht="11.25" hidden="1"/>
    <row r="523" ht="11.25" hidden="1"/>
    <row r="524" ht="11.25" hidden="1"/>
    <row r="525" ht="11.25" hidden="1"/>
    <row r="526" ht="11.25" hidden="1"/>
    <row r="527" ht="11.25" hidden="1"/>
    <row r="528" ht="11.25" hidden="1"/>
    <row r="529" ht="11.25" hidden="1"/>
    <row r="530" ht="11.25" hidden="1"/>
    <row r="531" ht="11.25" hidden="1"/>
    <row r="532" ht="11.25" hidden="1"/>
    <row r="533" ht="11.25" hidden="1"/>
    <row r="534" ht="11.25" hidden="1"/>
    <row r="535" ht="11.25" hidden="1"/>
    <row r="536" ht="11.25" hidden="1"/>
    <row r="537" ht="11.25" hidden="1"/>
    <row r="538" ht="11.25" hidden="1"/>
    <row r="539" ht="11.25" hidden="1"/>
    <row r="540" ht="11.25" hidden="1"/>
    <row r="541" ht="11.25" hidden="1"/>
    <row r="542" ht="11.25" hidden="1"/>
    <row r="543" ht="11.25" hidden="1"/>
    <row r="544" ht="11.25" hidden="1"/>
    <row r="545" ht="11.25" hidden="1"/>
    <row r="546" ht="11.25" hidden="1"/>
    <row r="547" ht="11.25" hidden="1"/>
    <row r="548" ht="11.25" hidden="1"/>
    <row r="549" ht="11.25" hidden="1"/>
    <row r="550" ht="11.25" hidden="1"/>
    <row r="551" ht="11.25" hidden="1"/>
    <row r="552" ht="11.25" hidden="1"/>
    <row r="553" ht="11.25" hidden="1"/>
    <row r="554" ht="11.25" hidden="1"/>
    <row r="555" ht="11.25" hidden="1"/>
    <row r="556" ht="11.25" hidden="1"/>
    <row r="557" ht="11.25" hidden="1"/>
    <row r="558" ht="11.25" hidden="1"/>
    <row r="559" ht="11.25" hidden="1"/>
    <row r="560" ht="11.25" hidden="1"/>
    <row r="561" ht="11.25" hidden="1"/>
    <row r="562" ht="11.25" hidden="1"/>
    <row r="563" ht="11.25" hidden="1"/>
    <row r="564" ht="11.25" hidden="1"/>
    <row r="565" ht="11.25" hidden="1"/>
    <row r="566" ht="11.25" hidden="1"/>
    <row r="567" ht="11.25" hidden="1"/>
    <row r="568" ht="11.25" hidden="1"/>
    <row r="569" ht="11.25" hidden="1"/>
    <row r="570" ht="11.25" hidden="1"/>
    <row r="571" ht="11.25" hidden="1"/>
    <row r="572" ht="11.25" hidden="1"/>
    <row r="573" ht="11.25" hidden="1"/>
    <row r="574" ht="11.25" hidden="1"/>
    <row r="575" ht="11.25" hidden="1"/>
    <row r="576" ht="11.25" hidden="1"/>
    <row r="577" ht="11.25" hidden="1"/>
    <row r="578" ht="11.25" hidden="1"/>
    <row r="579" ht="11.25" hidden="1"/>
    <row r="580" ht="11.25" hidden="1"/>
    <row r="581" ht="11.25" hidden="1"/>
    <row r="582" ht="11.25" hidden="1"/>
    <row r="583" ht="11.25" hidden="1"/>
    <row r="584" ht="11.25" hidden="1"/>
    <row r="585" ht="11.25" hidden="1"/>
    <row r="586" ht="11.25" hidden="1"/>
    <row r="587" ht="11.25" hidden="1"/>
    <row r="588" ht="11.25" hidden="1"/>
    <row r="589" ht="11.25" hidden="1"/>
    <row r="590" ht="11.25" hidden="1"/>
    <row r="591" ht="11.25" hidden="1"/>
    <row r="592" ht="11.25" hidden="1"/>
    <row r="593" ht="11.25" hidden="1"/>
    <row r="594" ht="11.25" hidden="1"/>
    <row r="595" ht="11.25" hidden="1"/>
    <row r="596" ht="11.25" hidden="1"/>
    <row r="597" ht="11.25" hidden="1"/>
    <row r="598" ht="11.25" hidden="1"/>
    <row r="599" ht="11.25" hidden="1"/>
    <row r="600" ht="11.25" hidden="1"/>
    <row r="601" ht="11.25" hidden="1"/>
    <row r="602" ht="11.25" hidden="1"/>
    <row r="603" ht="11.25" hidden="1"/>
    <row r="604" ht="11.25" hidden="1"/>
    <row r="605" ht="11.25" hidden="1"/>
    <row r="606" ht="11.25" hidden="1"/>
    <row r="607" ht="11.25" hidden="1"/>
    <row r="608" ht="11.25" hidden="1"/>
    <row r="609" ht="11.25" hidden="1"/>
    <row r="610" ht="11.25" hidden="1"/>
    <row r="611" ht="11.25" hidden="1"/>
    <row r="612" ht="11.25" hidden="1"/>
    <row r="613" ht="11.25" hidden="1"/>
    <row r="614" ht="11.25" hidden="1"/>
    <row r="615" ht="11.25" hidden="1"/>
    <row r="616" ht="11.25" hidden="1"/>
    <row r="617" ht="11.25" hidden="1"/>
    <row r="618" ht="11.25" hidden="1"/>
    <row r="619" ht="11.25" hidden="1"/>
    <row r="620" ht="11.25" hidden="1"/>
    <row r="621" ht="11.25" hidden="1"/>
    <row r="622" ht="11.25" hidden="1"/>
    <row r="623" ht="11.25" hidden="1"/>
    <row r="624" ht="11.25" hidden="1"/>
    <row r="625" ht="11.25" hidden="1"/>
    <row r="626" ht="11.25" hidden="1"/>
    <row r="627" ht="11.25" hidden="1"/>
    <row r="628" ht="11.25" hidden="1"/>
    <row r="629" ht="11.25" hidden="1"/>
    <row r="630" ht="11.25" hidden="1"/>
    <row r="631" ht="11.25" hidden="1"/>
    <row r="632" ht="11.25" hidden="1"/>
    <row r="633" ht="11.25" hidden="1"/>
    <row r="634" ht="11.25" hidden="1"/>
    <row r="635" ht="11.25" hidden="1"/>
    <row r="636" ht="11.25" hidden="1"/>
    <row r="637" ht="11.25" hidden="1"/>
    <row r="638" ht="11.25" hidden="1"/>
    <row r="639" ht="11.25" hidden="1"/>
    <row r="640" ht="11.25" hidden="1"/>
    <row r="641" ht="11.25" hidden="1"/>
    <row r="642" ht="11.25" hidden="1"/>
    <row r="643" ht="11.25" hidden="1"/>
    <row r="644" ht="11.25" hidden="1"/>
    <row r="645" ht="11.25" hidden="1"/>
    <row r="646" ht="11.25" hidden="1"/>
    <row r="647" ht="11.25" hidden="1"/>
    <row r="648" ht="11.25" hidden="1"/>
    <row r="649" ht="11.25" hidden="1"/>
    <row r="650" ht="11.25" hidden="1"/>
    <row r="651" ht="11.25" hidden="1"/>
    <row r="652" ht="11.25" hidden="1"/>
    <row r="653" ht="11.25" hidden="1"/>
    <row r="654" ht="11.25" hidden="1"/>
    <row r="655" ht="11.25" hidden="1"/>
    <row r="656" ht="11.25" hidden="1"/>
    <row r="657" ht="11.25" hidden="1"/>
    <row r="658" ht="11.25" hidden="1"/>
    <row r="659" ht="11.25" hidden="1"/>
    <row r="660" ht="11.25" hidden="1"/>
    <row r="661" ht="11.25" hidden="1"/>
    <row r="662" ht="11.25" hidden="1"/>
    <row r="663" ht="11.25" hidden="1"/>
    <row r="664" ht="11.25" hidden="1"/>
    <row r="665" ht="11.25" hidden="1"/>
    <row r="666" ht="11.25" hidden="1"/>
    <row r="667" ht="11.25" hidden="1"/>
    <row r="668" ht="11.25" hidden="1"/>
    <row r="669" ht="11.25" hidden="1"/>
    <row r="670" ht="11.25" hidden="1"/>
    <row r="671" ht="11.25" hidden="1"/>
    <row r="672" ht="11.25" hidden="1"/>
    <row r="673" ht="11.25" hidden="1"/>
    <row r="674" ht="11.25" hidden="1"/>
    <row r="675" ht="11.25" hidden="1"/>
    <row r="676" ht="11.25" hidden="1"/>
    <row r="677" ht="11.25" hidden="1"/>
    <row r="678" ht="11.25" hidden="1"/>
    <row r="679" ht="11.25" hidden="1"/>
    <row r="680" ht="11.25" hidden="1"/>
    <row r="681" ht="11.25" hidden="1"/>
    <row r="682" ht="11.25" hidden="1"/>
    <row r="683" ht="11.25" hidden="1"/>
    <row r="684" ht="11.25" hidden="1"/>
    <row r="685" ht="11.25" hidden="1"/>
    <row r="686" ht="11.25" hidden="1"/>
    <row r="687" ht="11.25" hidden="1"/>
    <row r="688" ht="11.25" hidden="1"/>
    <row r="689" ht="11.25" hidden="1"/>
    <row r="690" ht="11.25" hidden="1"/>
    <row r="691" ht="11.25" hidden="1"/>
    <row r="692" ht="11.25" hidden="1"/>
    <row r="693" ht="11.25" hidden="1"/>
    <row r="694" ht="11.25" hidden="1"/>
    <row r="695" ht="11.25" hidden="1"/>
    <row r="696" ht="11.25" hidden="1"/>
    <row r="697" ht="11.25" hidden="1"/>
    <row r="698" ht="11.25" hidden="1"/>
    <row r="699" ht="11.25" hidden="1"/>
    <row r="700" ht="11.25" hidden="1"/>
    <row r="701" ht="11.25" hidden="1"/>
    <row r="702" ht="11.25" hidden="1"/>
    <row r="703" ht="11.25" hidden="1"/>
    <row r="704" ht="11.25" hidden="1"/>
    <row r="705" ht="11.25" hidden="1"/>
    <row r="706" ht="11.25" hidden="1"/>
    <row r="707" ht="11.25" hidden="1"/>
    <row r="708" ht="11.25" hidden="1"/>
    <row r="709" ht="11.25" hidden="1"/>
    <row r="710" ht="11.25" hidden="1"/>
    <row r="711" ht="11.25" hidden="1"/>
    <row r="712" ht="11.25" hidden="1"/>
    <row r="713" ht="11.25" hidden="1"/>
    <row r="714" ht="11.25" hidden="1"/>
    <row r="715" ht="11.25" hidden="1"/>
    <row r="716" ht="11.25" hidden="1"/>
    <row r="717" ht="11.25" hidden="1"/>
    <row r="718" ht="11.25" hidden="1"/>
    <row r="719" ht="11.25" hidden="1"/>
    <row r="720" ht="11.25" hidden="1"/>
    <row r="721" ht="11.25" hidden="1"/>
    <row r="722" ht="11.25" hidden="1"/>
    <row r="723" ht="11.25" hidden="1"/>
    <row r="724" ht="11.25" hidden="1"/>
    <row r="725" ht="11.25" hidden="1"/>
    <row r="726" ht="11.25" hidden="1"/>
    <row r="727" ht="11.25" hidden="1"/>
    <row r="728" ht="11.25" hidden="1"/>
    <row r="729" ht="11.25" hidden="1"/>
    <row r="730" ht="11.25" hidden="1"/>
    <row r="731" ht="11.25" hidden="1"/>
    <row r="732" ht="11.25" hidden="1"/>
    <row r="733" ht="11.25" hidden="1"/>
    <row r="734" ht="11.25" hidden="1"/>
    <row r="735" ht="11.25" hidden="1"/>
    <row r="736" ht="11.25" hidden="1"/>
    <row r="737" ht="11.25" hidden="1"/>
  </sheetData>
  <sheetProtection/>
  <mergeCells count="3">
    <mergeCell ref="AY4:AZ4"/>
    <mergeCell ref="A1:BB3"/>
    <mergeCell ref="A289:BA28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&amp;LTiszaszolg 2004 Kft.</oddHeader>
    <oddFooter>&amp;LTiszaújváros, 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Gazdag László</cp:lastModifiedBy>
  <cp:lastPrinted>2017-10-13T10:50:48Z</cp:lastPrinted>
  <dcterms:created xsi:type="dcterms:W3CDTF">1999-04-28T20:01:57Z</dcterms:created>
  <dcterms:modified xsi:type="dcterms:W3CDTF">2017-10-13T10:51:23Z</dcterms:modified>
  <cp:category/>
  <cp:version/>
  <cp:contentType/>
  <cp:contentStatus/>
</cp:coreProperties>
</file>