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/>
  <calcPr fullCalcOnLoad="1"/>
</workbook>
</file>

<file path=xl/sharedStrings.xml><?xml version="1.0" encoding="utf-8"?>
<sst xmlns="http://schemas.openxmlformats.org/spreadsheetml/2006/main" count="697" uniqueCount="290">
  <si>
    <t xml:space="preserve">240X12"                             </t>
  </si>
  <si>
    <t>ROSTIRON (ALKOHOLOS) VASTAG</t>
  </si>
  <si>
    <t>KÖRHEGYŰ-FEKETE</t>
  </si>
  <si>
    <t>KÖRHEGYŰ-PIROS</t>
  </si>
  <si>
    <t>KÖRHEGYŰ-ZÖLD</t>
  </si>
  <si>
    <t>KÖRHEGYŰ-KÉK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</si>
  <si>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</si>
  <si>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</si>
  <si>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</si>
  <si>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</si>
  <si>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</si>
  <si>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</si>
  <si>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</si>
  <si>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</si>
  <si>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db</t>
  </si>
  <si>
    <t>cso.</t>
  </si>
  <si>
    <t>FÉNYMÁSOLÓ PAPÍR (XEROX) 500 ív/cso.</t>
  </si>
  <si>
    <t>VONALZÓ (MŰANYAG)</t>
  </si>
  <si>
    <t>TŰZŐGÉP KAPOCS 1000 db /doboz</t>
  </si>
  <si>
    <t>dob.</t>
  </si>
  <si>
    <t>tek.</t>
  </si>
  <si>
    <t>A/4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</si>
  <si>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</si>
  <si>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</si>
  <si>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</si>
  <si>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</si>
  <si>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</si>
  <si>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</si>
  <si>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</si>
  <si>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</si>
  <si>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</si>
  <si>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</si>
  <si>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</si>
  <si>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</si>
  <si>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</si>
  <si>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</si>
  <si>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</si>
  <si>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</si>
  <si>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</si>
  <si>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 KAPCSOS</t>
  </si>
  <si>
    <t>127X075 MM</t>
  </si>
  <si>
    <t>A/7</t>
  </si>
  <si>
    <t>KÉK SZÍNŰ BETÉTTEL</t>
  </si>
  <si>
    <t>PIROS SZÍNŰ BETÉTTEL</t>
  </si>
  <si>
    <t>LC5 / FEHÉR SZÍNŰ</t>
  </si>
  <si>
    <t>LC6 / FEHÉR SZÍNŰ</t>
  </si>
  <si>
    <t>GOLYÓSTOLL (SIGNETTA) OLCSÓ</t>
  </si>
  <si>
    <t>VÁGOTTHEGYŰ-FEKETE</t>
  </si>
  <si>
    <t>25 MM-ES (12db/dob.)</t>
  </si>
  <si>
    <t>19 MM-ES (12db/dob.)</t>
  </si>
  <si>
    <t>32 MM-ES (12db/dob.)</t>
  </si>
  <si>
    <t>ZSEBNOTESZ (SPIRÁLFŰZÉSES)</t>
  </si>
  <si>
    <t>PAPÍRSZALVÉTA (FEHÉR SZÍNŰ)</t>
  </si>
  <si>
    <t>MINŐSÉGI !</t>
  </si>
  <si>
    <t>KÖTÖZŐZSINEG</t>
  </si>
  <si>
    <t>A/4 / SZÍNES</t>
  </si>
  <si>
    <t xml:space="preserve">MŰANYAG, OLDALT PATENTOS TASAK </t>
  </si>
  <si>
    <t>SZÖVEGKIEMELŐ (FABER CASTELL TEXTLINER)</t>
  </si>
  <si>
    <t xml:space="preserve">GOLYÓSTOLL (SOLIDLY) </t>
  </si>
  <si>
    <t>ETIKETT CIMKE A/4</t>
  </si>
  <si>
    <t>TŰZŐGÉP (KIS KAPCSOS) JÓ MINŐSÉGŰ !</t>
  </si>
  <si>
    <t>FEHÉR SZÍNŰ HÁTLAPPAL</t>
  </si>
  <si>
    <t>GENOTHERMA (LEFŰZHETŐS) VÍZTISZTA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</si>
  <si>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</si>
  <si>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</si>
  <si>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</si>
  <si>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</si>
  <si>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</si>
  <si>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</si>
  <si>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</si>
  <si>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</si>
  <si>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</si>
  <si>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</si>
  <si>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FEHÉR SZÍNŰ 5 CM-ES</t>
  </si>
  <si>
    <t>HIBAJAVÍTÓ FESTÉK (ECSETES)</t>
  </si>
  <si>
    <t>HÍGÍTÓ NÉLKÜLI</t>
  </si>
  <si>
    <t>GOLYÓSTOLL (4 SZÍNŰ)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</si>
  <si>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</si>
  <si>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</si>
  <si>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</si>
  <si>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</si>
  <si>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</si>
  <si>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</si>
  <si>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</si>
  <si>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</si>
  <si>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</si>
  <si>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</si>
  <si>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ZÖLD SZÍNŰ 7,5 CM-ES</t>
  </si>
  <si>
    <t>RAGASZTÓ (PILLANATRAGASZTÓ)</t>
  </si>
  <si>
    <t>ZÖLD</t>
  </si>
  <si>
    <t>GOLYÓSTOLL BETÉT (ZEBRA F301) RÚGÓS</t>
  </si>
  <si>
    <t>TC4 / FEHÉR SZÍNŰ</t>
  </si>
  <si>
    <t>CERUZAHEGYEZŐ (ASZTALI-KÉZI TEKERŐS)</t>
  </si>
  <si>
    <t>JOBB MINŐSÉGŰ !</t>
  </si>
  <si>
    <t>A/4 ÁLLÓ HELYZETŰ</t>
  </si>
  <si>
    <t>GOLYÓSTOLL (ÜGYFELES)</t>
  </si>
  <si>
    <t>FEHÉR SZÍNŰ 7, 5 CM-ES</t>
  </si>
  <si>
    <t>GÉMKAPOCS TARTÓ (NAGY MÉRETŰ)</t>
  </si>
  <si>
    <t>MÁGNESES</t>
  </si>
  <si>
    <t>ASZTALRA VÍZSZINTESEN HELYEZHETŐ !</t>
  </si>
  <si>
    <t>KÉK SZÍNŰ 7,5 CM-ES</t>
  </si>
  <si>
    <t>SÁRGA SZÍNŰ 7,5 CM-ES</t>
  </si>
  <si>
    <t>ZSEBSZÁMOLÓGÉP</t>
  </si>
  <si>
    <t>IRATSPIRÁL (MŰANYAG)</t>
  </si>
  <si>
    <t>6MM-ES (FEHÉR)</t>
  </si>
  <si>
    <t>10MM-ES (FEHÉR)</t>
  </si>
  <si>
    <t>19MM-ES (FEHÉR)</t>
  </si>
  <si>
    <t>A/4 FEHÉR</t>
  </si>
  <si>
    <t>LYUKASZTÓGÉP (SAX)</t>
  </si>
  <si>
    <t>20X50MM ( NEON SZÍNBEN!)</t>
  </si>
  <si>
    <t>HÁTLAP (IRATSPIRÁLOZÁSHOZ)</t>
  </si>
  <si>
    <t>PENTEL ULTRA FINE FEKETE</t>
  </si>
  <si>
    <t>VÁGOTTHEGYŰ-KÉK</t>
  </si>
  <si>
    <t>ROSTIRON FABER-CASTELL MULTIMARK 1526</t>
  </si>
  <si>
    <t>ETIKETT CIMKE A/12</t>
  </si>
  <si>
    <t>A/3 (80 GRAMM)</t>
  </si>
  <si>
    <t>105X037 MM</t>
  </si>
  <si>
    <t>099,1X57 MM</t>
  </si>
  <si>
    <t xml:space="preserve">KÉK SZÍNŰ </t>
  </si>
  <si>
    <t>TÉRKÉPTŰ</t>
  </si>
  <si>
    <t>PAPÍRVÁGÓ OLLÓ</t>
  </si>
  <si>
    <t>KÖZEPES MÉRETŰ</t>
  </si>
  <si>
    <t>HIBAJAVÍTÓ TOLL (PENTEL)</t>
  </si>
  <si>
    <t>RÓZSASZÍN</t>
  </si>
  <si>
    <t>A/4 / FEHÉR SZÍNŰ</t>
  </si>
  <si>
    <t>A/4 / SZÜRKE SZÍNŰ</t>
  </si>
  <si>
    <t>0,7,MM-ES</t>
  </si>
  <si>
    <t>FEKFŐ HELYZETŰ (KB. 30X15CM-ES)</t>
  </si>
  <si>
    <t>DARAB MATRICÁS (NEM FOLYAMATOS !)</t>
  </si>
  <si>
    <t>ELŐLAP (IRATSPIRÁLOZÁSHOZ)</t>
  </si>
  <si>
    <t>ÁTLÁTSZÓ</t>
  </si>
  <si>
    <t>TÉPŐTÖMB (FEHÉR)  KEMÉNY LAPKÁS !</t>
  </si>
  <si>
    <t>LAPSZÉLJELÖLŐ (PAPIRBÓL) POST IT</t>
  </si>
  <si>
    <t>CASIO MS-20S</t>
  </si>
  <si>
    <t>ASZTALI NAPTÁR 2017 ÉVRE !</t>
  </si>
  <si>
    <t>2017 ÉVRE !</t>
  </si>
  <si>
    <t>41 MM-ES (12db/dob.)</t>
  </si>
  <si>
    <t>BORÍTÉK (ÖNTAPADÓS) SZILIKONOS</t>
  </si>
  <si>
    <t>TB4 /TALPAS</t>
  </si>
  <si>
    <t>BÉLYEGZŐPÁRNA FESTÉK</t>
  </si>
  <si>
    <t>FEKETE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</si>
  <si>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</si>
  <si>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</si>
  <si>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</si>
  <si>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</si>
  <si>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</si>
  <si>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</si>
  <si>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</si>
  <si>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</si>
  <si>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</si>
  <si>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</si>
  <si>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</si>
  <si>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</si>
  <si>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</si>
  <si>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</si>
  <si>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</si>
  <si>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</si>
  <si>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</si>
  <si>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</si>
  <si>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</si>
  <si>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</si>
  <si>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</si>
  <si>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</si>
  <si>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</si>
  <si>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</si>
  <si>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</si>
  <si>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</si>
  <si>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</si>
  <si>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</si>
  <si>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</si>
  <si>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</si>
  <si>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</si>
  <si>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</si>
  <si>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</si>
  <si>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</si>
  <si>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</si>
  <si>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</si>
  <si>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</si>
  <si>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</si>
  <si>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</si>
  <si>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</si>
  <si>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</si>
  <si>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</si>
  <si>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</si>
  <si>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</si>
  <si>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</si>
  <si>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</si>
  <si>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</si>
  <si>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</si>
  <si>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</si>
  <si>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</si>
  <si>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</si>
  <si>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</si>
  <si>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</si>
  <si>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</si>
  <si>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</si>
  <si>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</si>
  <si>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</si>
  <si>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</si>
  <si>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</si>
  <si>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</si>
  <si>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</si>
  <si>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</si>
  <si>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</si>
  <si>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</si>
  <si>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</si>
  <si>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</si>
  <si>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</si>
  <si>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</si>
  <si>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</si>
  <si>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</si>
  <si>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</si>
  <si>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</si>
  <si>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</si>
  <si>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</si>
  <si>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</si>
  <si>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</si>
  <si>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</si>
  <si>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</si>
  <si>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</si>
  <si>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</si>
  <si>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</si>
  <si>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</si>
  <si>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</si>
  <si>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</si>
  <si>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</si>
  <si>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</si>
  <si>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</si>
  <si>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</si>
  <si>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</si>
  <si>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</si>
  <si>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</si>
  <si>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</si>
  <si>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</si>
  <si>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</si>
  <si>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</si>
  <si>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</si>
  <si>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</si>
  <si>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</si>
  <si>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</si>
  <si>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</si>
  <si>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</si>
  <si>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</si>
  <si>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</si>
  <si>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</si>
  <si>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</si>
  <si>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</si>
  <si>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</si>
  <si>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</si>
  <si>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</si>
  <si>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</si>
  <si>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</si>
  <si>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</si>
  <si>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</si>
  <si>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</si>
  <si>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</si>
  <si>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</si>
  <si>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</si>
  <si>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sorszám</t>
  </si>
  <si>
    <t>TŰZŐGÉP (NORMÁL KAPCSOS) JÓ MINŐSÉGŰ !</t>
  </si>
  <si>
    <t>24/6-OS MÉRETŰ KAPCSOS</t>
  </si>
  <si>
    <t>FÜZET (SPIRÁL) VONALAS</t>
  </si>
  <si>
    <t>24/6-NORMÁL (MEMORIS-PRECIOUS !)</t>
  </si>
  <si>
    <t>10-ES MÉRETŰ-KICSI (MEMORIS-PRECIOUS !)</t>
  </si>
  <si>
    <t>30 CM-ES (NEM ÁTLÁTSZÓ ANYAGBÓL !)</t>
  </si>
  <si>
    <t>LAPSZÉLJELÖLŐ  (MAG OFFICE) NYÍL FORMA</t>
  </si>
  <si>
    <t>5X25 DB-OS 12MMX45MM  ART N.5564005-62</t>
  </si>
  <si>
    <t>GOLYÓSTOLL (ZSELÉS) PENTEL ENERGEL</t>
  </si>
  <si>
    <t xml:space="preserve">0,7 MM-ES KÉK SZÍNŰ BETÉTTEL </t>
  </si>
  <si>
    <t>KLASSZIKUS  - ÉRINTŐ VÉGŰ !</t>
  </si>
  <si>
    <t>CERUZAHEGYEZŐ (ASZTALI-ELEKTROMOS)</t>
  </si>
  <si>
    <t>HIBAJAVÍTÓ ROLLER (FOROFFICE TIPUSÚ !)</t>
  </si>
  <si>
    <t xml:space="preserve">IRATRENDEZŐ (TOKOS) </t>
  </si>
  <si>
    <t>A/5</t>
  </si>
  <si>
    <t>A/6</t>
  </si>
  <si>
    <t>A/8</t>
  </si>
  <si>
    <t>A/4 - KÉK SZÍNŰ</t>
  </si>
  <si>
    <t>A/4 - ZÖLD SZÍNŰ</t>
  </si>
  <si>
    <t>A/4 - NARANCS SZÍNŰ</t>
  </si>
  <si>
    <t>A/4 - SÁRGA SZÍNŰ</t>
  </si>
  <si>
    <t>A/4 - NATUR</t>
  </si>
  <si>
    <t xml:space="preserve">0,7 MM-ES FEKETE SZÍNŰ BETÉTTEL </t>
  </si>
  <si>
    <t>VÁGOTTHEGYŰ-PIROS</t>
  </si>
  <si>
    <t>anyag megnevezés</t>
  </si>
  <si>
    <t>egyéb megnevezés</t>
  </si>
  <si>
    <t>2017.1. FÉLÉV IRODASZER ÁRAJÁNLAT BEKÉRŐ</t>
  </si>
  <si>
    <t>mennyiség</t>
  </si>
  <si>
    <t>egységár (Ft)</t>
  </si>
  <si>
    <t>érték (Ft)</t>
  </si>
  <si>
    <t>összesen: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</si>
</sst>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b/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4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L929"/>
  <sheetViews>
    <sheetView tabSelected="1" zoomScale="110" zoomScaleNormal="110" zoomScalePageLayoutView="0" workbookViewId="0" topLeftCell="A1">
      <selection activeCell="A930" sqref="A930:IV1523"/>
    </sheetView>
  </sheetViews>
  <sheetFormatPr defaultColWidth="9.00390625" defaultRowHeight="12.75"/>
  <cols>
    <col min="1" max="1" width="7.25390625" style="21" bestFit="1" customWidth="1"/>
    <col min="2" max="2" width="37.875" style="1" customWidth="1"/>
    <col min="3" max="3" width="34.25390625" style="1" customWidth="1"/>
    <col min="4" max="4" width="3.625" style="5" hidden="1" customWidth="1"/>
    <col min="5" max="5" width="3.00390625" style="8" hidden="1" customWidth="1"/>
    <col min="6" max="6" width="3.375" style="5" hidden="1" customWidth="1"/>
    <col min="7" max="7" width="4.375" style="5" hidden="1" customWidth="1"/>
    <col min="8" max="8" width="3.75390625" style="5" hidden="1" customWidth="1"/>
    <col min="9" max="9" width="4.25390625" style="5" hidden="1" customWidth="1"/>
    <col min="10" max="10" width="3.00390625" style="7" hidden="1" customWidth="1"/>
    <col min="11" max="11" width="3.00390625" style="5" hidden="1" customWidth="1"/>
    <col min="12" max="12" width="3.625" style="5" hidden="1" customWidth="1"/>
    <col min="13" max="13" width="3.00390625" style="5" hidden="1" customWidth="1"/>
    <col min="14" max="14" width="3.625" style="5" hidden="1" customWidth="1"/>
    <col min="15" max="16" width="3.00390625" style="5" hidden="1" customWidth="1"/>
    <col min="17" max="17" width="3.375" style="5" hidden="1" customWidth="1"/>
    <col min="18" max="19" width="3.25390625" style="5" hidden="1" customWidth="1"/>
    <col min="20" max="20" width="3.00390625" style="5" hidden="1" customWidth="1"/>
    <col min="21" max="21" width="3.625" style="5" hidden="1" customWidth="1"/>
    <col min="22" max="22" width="3.875" style="5" hidden="1" customWidth="1"/>
    <col min="23" max="23" width="3.625" style="5" hidden="1" customWidth="1"/>
    <col min="24" max="24" width="3.375" style="11" hidden="1" customWidth="1"/>
    <col min="25" max="31" width="3.375" style="5" hidden="1" customWidth="1"/>
    <col min="32" max="32" width="3.625" style="5" hidden="1" customWidth="1"/>
    <col min="33" max="33" width="3.25390625" style="5" hidden="1" customWidth="1"/>
    <col min="34" max="34" width="3.25390625" style="3" hidden="1" customWidth="1"/>
    <col min="35" max="35" width="3.375" style="2" hidden="1" customWidth="1"/>
    <col min="36" max="36" width="3.375" style="7" hidden="1" customWidth="1"/>
    <col min="37" max="37" width="3.375" style="2" hidden="1" customWidth="1"/>
    <col min="38" max="38" width="3.375" style="5" hidden="1" customWidth="1"/>
    <col min="39" max="39" width="3.375" style="2" hidden="1" customWidth="1"/>
    <col min="40" max="40" width="3.375" style="5" hidden="1" customWidth="1"/>
    <col min="41" max="42" width="3.625" style="5" hidden="1" customWidth="1"/>
    <col min="43" max="44" width="3.375" style="5" hidden="1" customWidth="1"/>
    <col min="45" max="47" width="3.375" style="12" hidden="1" customWidth="1"/>
    <col min="48" max="49" width="3.375" style="5" hidden="1" customWidth="1"/>
    <col min="50" max="50" width="3.00390625" style="5" hidden="1" customWidth="1"/>
    <col min="51" max="52" width="3.375" style="5" hidden="1" customWidth="1"/>
    <col min="53" max="53" width="6.625" style="5" customWidth="1"/>
    <col min="54" max="54" width="5.625" style="28" customWidth="1"/>
    <col min="55" max="55" width="19.75390625" style="2" customWidth="1"/>
    <col min="56" max="56" width="20.75390625" style="1" customWidth="1"/>
    <col min="57" max="63" width="3.00390625" style="1" hidden="1" customWidth="1"/>
    <col min="64" max="169" width="0" style="1" hidden="1" customWidth="1"/>
    <col min="170" max="16384" width="9.125" style="1" customWidth="1"/>
  </cols>
  <sheetData>
    <row r="1" spans="1:168" ht="12.75">
      <c r="A1" s="31" t="s">
        <v>285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25"/>
      <c r="FL1" s="24"/>
    </row>
    <row r="2" spans="1:168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6"/>
      <c r="BC2" s="22"/>
      <c r="BD2" s="22"/>
      <c r="BE2" s="25"/>
      <c r="FL2" s="24"/>
    </row>
    <row r="3" spans="1:56" s="8" customFormat="1" ht="12.75">
      <c r="A3" s="23" t="s">
        <v>258</v>
      </c>
      <c r="B3" s="23" t="s">
        <v>283</v>
      </c>
      <c r="C3" s="23" t="s">
        <v>284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32" t="s">
        <v>286</v>
      </c>
      <c r="BB3" s="33"/>
      <c r="BC3" s="21" t="s">
        <v>287</v>
      </c>
      <c r="BD3" s="21" t="s">
        <v>288</v>
      </c>
    </row>
    <row r="4" spans="1:55" s="9" customFormat="1" ht="11.25" hidden="1">
      <c r="A4" s="19" t="str">
        <f>"09962"</f>
        <v>09962</v>
      </c>
      <c r="B4" s="9" t="str">
        <f>"AJÁNDÉK TASAK"</f>
        <v>AJÁNDÉK TASAK</v>
      </c>
      <c r="D4" s="4"/>
      <c r="E4" s="13" t="s">
        <v>32</v>
      </c>
      <c r="F4" s="13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0"/>
      <c r="Y4" s="4"/>
      <c r="Z4" s="4"/>
      <c r="AA4" s="4"/>
      <c r="AB4" s="4"/>
      <c r="AC4" s="4"/>
      <c r="AD4" s="4"/>
      <c r="AE4" s="4"/>
      <c r="AF4" s="4"/>
      <c r="AG4" s="4"/>
      <c r="AH4" s="6"/>
      <c r="AI4" s="4"/>
      <c r="AJ4" s="6"/>
      <c r="AK4" s="4"/>
      <c r="AL4" s="4"/>
      <c r="AM4" s="4"/>
      <c r="AN4" s="4"/>
      <c r="AO4" s="4"/>
      <c r="AP4" s="4"/>
      <c r="AQ4" s="4"/>
      <c r="AR4" s="4"/>
      <c r="AS4" s="14"/>
      <c r="AT4" s="14"/>
      <c r="AU4" s="14"/>
      <c r="AV4" s="4"/>
      <c r="AW4" s="4"/>
      <c r="AX4" s="4"/>
      <c r="AY4" s="4"/>
      <c r="AZ4" s="4"/>
      <c r="BA4" s="4"/>
      <c r="BB4" s="27"/>
      <c r="BC4" s="4"/>
    </row>
    <row r="5" spans="1:55" s="9" customFormat="1" ht="11.25" hidden="1">
      <c r="A5" s="19" t="str">
        <f>"07442"</f>
        <v>07442</v>
      </c>
      <c r="B5" s="9" t="str">
        <f>"ALÁÍRÓKÖNYV (A4)"</f>
        <v>ALÁÍRÓKÖNYV (A4)</v>
      </c>
      <c r="C5" s="9" t="str">
        <f>"SAVARIA"</f>
        <v>SAVARIA</v>
      </c>
      <c r="D5" s="4"/>
      <c r="E5" s="13" t="s">
        <v>32</v>
      </c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0"/>
      <c r="Y5" s="4"/>
      <c r="Z5" s="4"/>
      <c r="AA5" s="4"/>
      <c r="AB5" s="4"/>
      <c r="AC5" s="4"/>
      <c r="AD5" s="4"/>
      <c r="AE5" s="4"/>
      <c r="AF5" s="4"/>
      <c r="AG5" s="4"/>
      <c r="AH5" s="6"/>
      <c r="AI5" s="4"/>
      <c r="AJ5" s="6"/>
      <c r="AK5" s="4"/>
      <c r="AL5" s="4"/>
      <c r="AM5" s="4"/>
      <c r="AN5" s="4"/>
      <c r="AO5" s="4"/>
      <c r="AP5" s="4"/>
      <c r="AQ5" s="4"/>
      <c r="AR5" s="4"/>
      <c r="AS5" s="14"/>
      <c r="AT5" s="14"/>
      <c r="AU5" s="14"/>
      <c r="AV5" s="4"/>
      <c r="AW5" s="4"/>
      <c r="AX5" s="4"/>
      <c r="AY5" s="4"/>
      <c r="AZ5" s="4"/>
      <c r="BA5" s="4"/>
      <c r="BB5" s="27"/>
      <c r="BC5" s="4"/>
    </row>
    <row r="6" spans="1:55" s="8" customFormat="1" ht="11.25" hidden="1">
      <c r="A6" s="19" t="str">
        <f>"09263"</f>
        <v>09263</v>
      </c>
      <c r="B6" s="9" t="str">
        <f>"ARCHIVÁLÓ KONTÉNER"</f>
        <v>ARCHIVÁLÓ KONTÉNER</v>
      </c>
      <c r="C6" s="9"/>
      <c r="D6" s="5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1"/>
      <c r="Y6" s="5"/>
      <c r="Z6" s="5"/>
      <c r="AA6" s="5"/>
      <c r="AB6" s="5"/>
      <c r="AC6" s="5"/>
      <c r="AD6" s="5"/>
      <c r="AE6" s="5"/>
      <c r="AF6" s="5"/>
      <c r="AG6" s="5"/>
      <c r="AH6" s="13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>
        <f aca="true" t="shared" si="0" ref="BA6:BA19">SUM(D6:AZ6)</f>
        <v>0</v>
      </c>
      <c r="BB6" s="28"/>
      <c r="BC6" s="5"/>
    </row>
    <row r="7" spans="1:55" s="8" customFormat="1" ht="11.25" hidden="1">
      <c r="A7" s="19" t="str">
        <f>"07596"</f>
        <v>07596</v>
      </c>
      <c r="B7" s="9" t="str">
        <f>"ÁTÍRÓTÖMB"</f>
        <v>ÁTÍRÓTÖMB</v>
      </c>
      <c r="C7" s="9" t="str">
        <f>"A/5 (50X3)"</f>
        <v>A/5 (50X3)</v>
      </c>
      <c r="D7" s="5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1"/>
      <c r="Y7" s="5"/>
      <c r="Z7" s="5"/>
      <c r="AA7" s="5"/>
      <c r="AB7" s="5"/>
      <c r="AC7" s="5"/>
      <c r="AD7" s="5"/>
      <c r="AE7" s="5"/>
      <c r="AF7" s="5"/>
      <c r="AG7" s="5"/>
      <c r="AH7" s="1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>
        <f t="shared" si="0"/>
        <v>0</v>
      </c>
      <c r="BB7" s="28"/>
      <c r="BC7" s="5"/>
    </row>
    <row r="8" spans="1:55" s="8" customFormat="1" ht="11.25" hidden="1">
      <c r="A8" s="19" t="str">
        <f>"11697"</f>
        <v>11697</v>
      </c>
      <c r="B8" s="9" t="str">
        <f>"ÁTÍRÓTÖMB (ÖNÁTÍRÓS)"</f>
        <v>ÁTÍRÓTÖMB (ÖNÁTÍRÓS)</v>
      </c>
      <c r="C8" s="9" t="str">
        <f>"A/4 (50X2)"</f>
        <v>A/4 (50X2)</v>
      </c>
      <c r="D8" s="5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1"/>
      <c r="Y8" s="5"/>
      <c r="Z8" s="5"/>
      <c r="AA8" s="5"/>
      <c r="AB8" s="5"/>
      <c r="AC8" s="5"/>
      <c r="AD8" s="5"/>
      <c r="AE8" s="5"/>
      <c r="AF8" s="5"/>
      <c r="AG8" s="5"/>
      <c r="AH8" s="1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>
        <f t="shared" si="0"/>
        <v>0</v>
      </c>
      <c r="BB8" s="28"/>
      <c r="BC8" s="5"/>
    </row>
    <row r="9" spans="1:55" s="9" customFormat="1" ht="11.25" hidden="1">
      <c r="A9" s="19" t="str">
        <f>"08078"</f>
        <v>08078</v>
      </c>
      <c r="B9" s="9" t="str">
        <f>"BELFÖLDI KIKÜLDETÉSI RENDELVÉNY"</f>
        <v>BELFÖLDI KIKÜLDETÉSI RENDELVÉNY</v>
      </c>
      <c r="C9" s="9" t="str">
        <f>"(B.18-70/új)"</f>
        <v>(B.18-70/új)</v>
      </c>
      <c r="D9" s="4"/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0"/>
      <c r="Y9" s="4"/>
      <c r="Z9" s="4"/>
      <c r="AA9" s="4"/>
      <c r="AB9" s="4"/>
      <c r="AC9" s="4"/>
      <c r="AD9" s="4"/>
      <c r="AE9" s="4"/>
      <c r="AF9" s="4"/>
      <c r="AG9" s="4"/>
      <c r="AH9" s="13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>
        <f t="shared" si="0"/>
        <v>0</v>
      </c>
      <c r="BB9" s="28"/>
      <c r="BC9" s="4"/>
    </row>
    <row r="10" spans="1:55" s="9" customFormat="1" ht="11.25" hidden="1">
      <c r="A10" s="19" t="str">
        <f>"13629"</f>
        <v>13629</v>
      </c>
      <c r="B10" s="9" t="str">
        <f>"BÉLYEGZŐ"</f>
        <v>BÉLYEGZŐ</v>
      </c>
      <c r="C10" s="9" t="str">
        <f>"COLOP 20"</f>
        <v>COLOP 20</v>
      </c>
      <c r="D10" s="4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0"/>
      <c r="Y10" s="4"/>
      <c r="Z10" s="4"/>
      <c r="AA10" s="4"/>
      <c r="AB10" s="4"/>
      <c r="AC10" s="4"/>
      <c r="AD10" s="4"/>
      <c r="AE10" s="4"/>
      <c r="AF10" s="4"/>
      <c r="AG10" s="4"/>
      <c r="AH10" s="1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">
        <f t="shared" si="0"/>
        <v>0</v>
      </c>
      <c r="BB10" s="28"/>
      <c r="BC10" s="4"/>
    </row>
    <row r="11" spans="1:55" s="9" customFormat="1" ht="11.25" hidden="1">
      <c r="A11" s="19" t="str">
        <f>"09947"</f>
        <v>09947</v>
      </c>
      <c r="B11" s="9" t="str">
        <f>"BÉLYEGZŐ (DÁTUM)"</f>
        <v>BÉLYEGZŐ (DÁTUM)</v>
      </c>
      <c r="C11" s="9" t="str">
        <f>"COLOP S120"</f>
        <v>COLOP S120</v>
      </c>
      <c r="D11" s="4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0"/>
      <c r="Y11" s="4"/>
      <c r="Z11" s="4"/>
      <c r="AA11" s="4"/>
      <c r="AB11" s="4"/>
      <c r="AC11" s="4"/>
      <c r="AD11" s="4"/>
      <c r="AE11" s="4"/>
      <c r="AF11" s="4"/>
      <c r="AG11" s="4"/>
      <c r="AH11" s="13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5">
        <f t="shared" si="0"/>
        <v>0</v>
      </c>
      <c r="BB11" s="28"/>
      <c r="BC11" s="4"/>
    </row>
    <row r="12" spans="1:55" s="9" customFormat="1" ht="11.25" hidden="1">
      <c r="A12" s="19" t="str">
        <f>"08618"</f>
        <v>08618</v>
      </c>
      <c r="B12" s="9" t="str">
        <f aca="true" t="shared" si="1" ref="B12:B19">"BÉLYEGZŐPÁRNA"</f>
        <v>BÉLYEGZŐPÁRNA</v>
      </c>
      <c r="C12" s="9" t="str">
        <f>"COLOP BP. 4912"</f>
        <v>COLOP BP. 4912</v>
      </c>
      <c r="D12" s="4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0"/>
      <c r="Y12" s="4"/>
      <c r="Z12" s="4"/>
      <c r="AA12" s="4"/>
      <c r="AB12" s="4"/>
      <c r="AC12" s="4"/>
      <c r="AD12" s="4"/>
      <c r="AE12" s="4"/>
      <c r="AF12" s="4"/>
      <c r="AG12" s="4"/>
      <c r="AH12" s="13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5">
        <f t="shared" si="0"/>
        <v>0</v>
      </c>
      <c r="BB12" s="28"/>
      <c r="BC12" s="4"/>
    </row>
    <row r="13" spans="1:55" s="9" customFormat="1" ht="11.25" hidden="1">
      <c r="A13" s="19" t="str">
        <f>"08617"</f>
        <v>08617</v>
      </c>
      <c r="B13" s="9" t="str">
        <f t="shared" si="1"/>
        <v>BÉLYEGZŐPÁRNA</v>
      </c>
      <c r="C13" s="9" t="str">
        <f>"COLOP BP. 4913"</f>
        <v>COLOP BP. 4913</v>
      </c>
      <c r="D13" s="4"/>
      <c r="E13" s="1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"/>
      <c r="Y13" s="4"/>
      <c r="Z13" s="4"/>
      <c r="AA13" s="4"/>
      <c r="AB13" s="4"/>
      <c r="AC13" s="4"/>
      <c r="AD13" s="4"/>
      <c r="AE13" s="4"/>
      <c r="AF13" s="4"/>
      <c r="AG13" s="4"/>
      <c r="AH13" s="1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5">
        <f t="shared" si="0"/>
        <v>0</v>
      </c>
      <c r="BB13" s="28"/>
      <c r="BC13" s="4"/>
    </row>
    <row r="14" spans="1:55" s="9" customFormat="1" ht="11.25" hidden="1">
      <c r="A14" s="19" t="str">
        <f>"10905"</f>
        <v>10905</v>
      </c>
      <c r="B14" s="9" t="str">
        <f t="shared" si="1"/>
        <v>BÉLYEGZŐPÁRNA</v>
      </c>
      <c r="C14" s="9" t="str">
        <f>"COLOP E 10"</f>
        <v>COLOP E 10</v>
      </c>
      <c r="D14" s="4"/>
      <c r="E14" s="1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0"/>
      <c r="Y14" s="4"/>
      <c r="Z14" s="4"/>
      <c r="AA14" s="4"/>
      <c r="AB14" s="4"/>
      <c r="AC14" s="4"/>
      <c r="AD14" s="4"/>
      <c r="AE14" s="4"/>
      <c r="AF14" s="4"/>
      <c r="AG14" s="4"/>
      <c r="AH14" s="13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5">
        <f t="shared" si="0"/>
        <v>0</v>
      </c>
      <c r="BB14" s="28"/>
      <c r="BC14" s="4"/>
    </row>
    <row r="15" spans="1:55" s="9" customFormat="1" ht="11.25" hidden="1">
      <c r="A15" s="19" t="str">
        <f>"10906"</f>
        <v>10906</v>
      </c>
      <c r="B15" s="9" t="str">
        <f t="shared" si="1"/>
        <v>BÉLYEGZŐPÁRNA</v>
      </c>
      <c r="C15" s="9" t="str">
        <f>"COLOP E 30"</f>
        <v>COLOP E 30</v>
      </c>
      <c r="D15" s="4"/>
      <c r="E15" s="1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0"/>
      <c r="Y15" s="4"/>
      <c r="Z15" s="4"/>
      <c r="AA15" s="4"/>
      <c r="AB15" s="4"/>
      <c r="AC15" s="4"/>
      <c r="AD15" s="4"/>
      <c r="AE15" s="4"/>
      <c r="AF15" s="4"/>
      <c r="AG15" s="4"/>
      <c r="AH15" s="13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5">
        <f t="shared" si="0"/>
        <v>0</v>
      </c>
      <c r="BB15" s="28"/>
      <c r="BC15" s="4"/>
    </row>
    <row r="16" spans="1:55" s="9" customFormat="1" ht="11.25" hidden="1">
      <c r="A16" s="19" t="str">
        <f>"08573"</f>
        <v>08573</v>
      </c>
      <c r="B16" s="9" t="str">
        <f t="shared" si="1"/>
        <v>BÉLYEGZŐPÁRNA</v>
      </c>
      <c r="C16" s="9" t="str">
        <f>"COLOP E 40"</f>
        <v>COLOP E 40</v>
      </c>
      <c r="D16" s="4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0"/>
      <c r="Y16" s="4"/>
      <c r="Z16" s="4"/>
      <c r="AA16" s="4"/>
      <c r="AB16" s="4"/>
      <c r="AC16" s="4"/>
      <c r="AD16" s="4"/>
      <c r="AE16" s="4"/>
      <c r="AF16" s="4"/>
      <c r="AG16" s="4"/>
      <c r="AH16" s="13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5">
        <f t="shared" si="0"/>
        <v>0</v>
      </c>
      <c r="BB16" s="28"/>
      <c r="BC16" s="4"/>
    </row>
    <row r="17" spans="1:55" s="9" customFormat="1" ht="11.25" hidden="1">
      <c r="A17" s="19" t="str">
        <f>"12655"</f>
        <v>12655</v>
      </c>
      <c r="B17" s="9" t="str">
        <f t="shared" si="1"/>
        <v>BÉLYEGZŐPÁRNA</v>
      </c>
      <c r="C17" s="9" t="str">
        <f>"KORES"</f>
        <v>KORES</v>
      </c>
      <c r="D17" s="4"/>
      <c r="E17" s="1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0"/>
      <c r="Y17" s="4"/>
      <c r="Z17" s="4"/>
      <c r="AA17" s="4"/>
      <c r="AB17" s="4"/>
      <c r="AC17" s="4"/>
      <c r="AD17" s="4"/>
      <c r="AE17" s="4"/>
      <c r="AF17" s="4"/>
      <c r="AG17" s="4"/>
      <c r="AH17" s="13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5">
        <f t="shared" si="0"/>
        <v>0</v>
      </c>
      <c r="BB17" s="28"/>
      <c r="BC17" s="4"/>
    </row>
    <row r="18" spans="1:55" s="9" customFormat="1" ht="11.25" hidden="1">
      <c r="A18" s="19" t="str">
        <f>"13304"</f>
        <v>13304</v>
      </c>
      <c r="B18" s="9" t="str">
        <f t="shared" si="1"/>
        <v>BÉLYEGZŐPÁRNA</v>
      </c>
      <c r="C18" s="9" t="str">
        <f>"LACO"</f>
        <v>LACO</v>
      </c>
      <c r="D18" s="4"/>
      <c r="E18" s="1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0"/>
      <c r="Y18" s="4"/>
      <c r="Z18" s="4"/>
      <c r="AA18" s="4"/>
      <c r="AB18" s="4"/>
      <c r="AC18" s="4"/>
      <c r="AD18" s="4"/>
      <c r="AE18" s="4"/>
      <c r="AF18" s="4"/>
      <c r="AG18" s="4"/>
      <c r="AH18" s="13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5">
        <f t="shared" si="0"/>
        <v>0</v>
      </c>
      <c r="BB18" s="28"/>
      <c r="BC18" s="4"/>
    </row>
    <row r="19" spans="1:55" s="9" customFormat="1" ht="11.25" hidden="1">
      <c r="A19" s="19" t="str">
        <f>"12490"</f>
        <v>12490</v>
      </c>
      <c r="B19" s="9" t="str">
        <f t="shared" si="1"/>
        <v>BÉLYEGZŐPÁRNA</v>
      </c>
      <c r="C19" s="9" t="str">
        <f>"TRODAT 4912"</f>
        <v>TRODAT 4912</v>
      </c>
      <c r="D19" s="4"/>
      <c r="E19" s="1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0"/>
      <c r="Y19" s="4"/>
      <c r="Z19" s="4"/>
      <c r="AA19" s="4"/>
      <c r="AB19" s="4"/>
      <c r="AC19" s="4"/>
      <c r="AD19" s="4"/>
      <c r="AE19" s="4"/>
      <c r="AF19" s="4"/>
      <c r="AG19" s="4"/>
      <c r="AH19" s="13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5">
        <f t="shared" si="0"/>
        <v>0</v>
      </c>
      <c r="BB19" s="28"/>
      <c r="BC19" s="4"/>
    </row>
    <row r="20" spans="1:57" s="9" customFormat="1" ht="11.25">
      <c r="A20" s="19" t="s">
        <v>141</v>
      </c>
      <c r="B20" s="9" t="str">
        <f>"ÁRAZÓSZALAG"</f>
        <v>ÁRAZÓSZALAG</v>
      </c>
      <c r="C20" s="9" t="s">
        <v>128</v>
      </c>
      <c r="D20" s="4">
        <v>10</v>
      </c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0"/>
      <c r="Y20" s="4"/>
      <c r="Z20" s="4"/>
      <c r="AA20" s="4"/>
      <c r="AB20" s="4"/>
      <c r="AC20" s="4"/>
      <c r="AD20" s="4"/>
      <c r="AE20" s="4"/>
      <c r="AF20" s="4"/>
      <c r="AG20" s="4"/>
      <c r="AH20" s="13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5">
        <f>SUM(D20:AZ20)</f>
        <v>10</v>
      </c>
      <c r="BB20" s="27" t="s">
        <v>20</v>
      </c>
      <c r="BC20" s="4"/>
      <c r="BE20" s="8"/>
    </row>
    <row r="21" spans="1:55" s="8" customFormat="1" ht="11.25">
      <c r="A21" s="19" t="s">
        <v>142</v>
      </c>
      <c r="B21" s="9" t="s">
        <v>66</v>
      </c>
      <c r="C21" s="9" t="s">
        <v>135</v>
      </c>
      <c r="D21" s="5"/>
      <c r="E21" s="13"/>
      <c r="F21" s="5"/>
      <c r="G21" s="5"/>
      <c r="H21" s="5"/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1"/>
      <c r="Y21" s="5"/>
      <c r="Z21" s="5"/>
      <c r="AA21" s="5"/>
      <c r="AB21" s="5"/>
      <c r="AC21" s="5"/>
      <c r="AD21" s="5"/>
      <c r="AE21" s="5"/>
      <c r="AF21" s="5"/>
      <c r="AG21" s="5"/>
      <c r="AH21" s="13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>
        <f aca="true" t="shared" si="2" ref="BA21:BA78">SUM(D21:AZ21)</f>
        <v>1</v>
      </c>
      <c r="BB21" s="28" t="s">
        <v>14</v>
      </c>
      <c r="BC21" s="5"/>
    </row>
    <row r="22" spans="1:55" s="8" customFormat="1" ht="11.25">
      <c r="A22" s="19" t="s">
        <v>143</v>
      </c>
      <c r="B22" s="9" t="s">
        <v>134</v>
      </c>
      <c r="C22" s="9" t="s">
        <v>127</v>
      </c>
      <c r="D22" s="5"/>
      <c r="E22" s="13"/>
      <c r="F22" s="5"/>
      <c r="G22" s="5"/>
      <c r="H22" s="5"/>
      <c r="I22" s="5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1"/>
      <c r="Y22" s="5"/>
      <c r="Z22" s="5"/>
      <c r="AA22" s="5"/>
      <c r="AB22" s="5"/>
      <c r="AC22" s="5"/>
      <c r="AD22" s="5"/>
      <c r="AE22" s="5"/>
      <c r="AF22" s="5"/>
      <c r="AG22" s="5"/>
      <c r="AH22" s="13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>
        <f t="shared" si="2"/>
        <v>1</v>
      </c>
      <c r="BB22" s="28" t="s">
        <v>14</v>
      </c>
      <c r="BC22" s="5"/>
    </row>
    <row r="23" spans="1:55" s="8" customFormat="1" ht="11.25">
      <c r="A23" s="19" t="s">
        <v>144</v>
      </c>
      <c r="B23" s="8" t="s">
        <v>139</v>
      </c>
      <c r="C23" s="8" t="s">
        <v>140</v>
      </c>
      <c r="D23" s="5"/>
      <c r="E23" s="13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1"/>
      <c r="Y23" s="5"/>
      <c r="Z23" s="5"/>
      <c r="AA23" s="5"/>
      <c r="AB23" s="5"/>
      <c r="AC23" s="5"/>
      <c r="AD23" s="5"/>
      <c r="AE23" s="5"/>
      <c r="AF23" s="5"/>
      <c r="AG23" s="5"/>
      <c r="AH23" s="13"/>
      <c r="AI23" s="5"/>
      <c r="AJ23" s="5"/>
      <c r="AK23" s="5"/>
      <c r="AL23" s="5">
        <v>1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>
        <f t="shared" si="2"/>
        <v>2</v>
      </c>
      <c r="BB23" s="28" t="s">
        <v>14</v>
      </c>
      <c r="BC23" s="5"/>
    </row>
    <row r="24" spans="1:55" s="8" customFormat="1" ht="11.25">
      <c r="A24" s="19" t="s">
        <v>145</v>
      </c>
      <c r="B24" s="8" t="s">
        <v>139</v>
      </c>
      <c r="C24" s="8" t="s">
        <v>7</v>
      </c>
      <c r="D24" s="5"/>
      <c r="E24" s="13"/>
      <c r="F24" s="5"/>
      <c r="G24" s="5"/>
      <c r="H24" s="5"/>
      <c r="I24" s="5">
        <v>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1"/>
      <c r="Y24" s="5"/>
      <c r="Z24" s="5"/>
      <c r="AA24" s="5"/>
      <c r="AB24" s="5"/>
      <c r="AC24" s="5"/>
      <c r="AD24" s="5"/>
      <c r="AE24" s="5"/>
      <c r="AF24" s="5"/>
      <c r="AG24" s="5"/>
      <c r="AH24" s="1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>
        <f t="shared" si="2"/>
        <v>1</v>
      </c>
      <c r="BB24" s="28" t="s">
        <v>14</v>
      </c>
      <c r="BC24" s="5"/>
    </row>
    <row r="25" spans="1:55" s="8" customFormat="1" ht="11.25">
      <c r="A25" s="19" t="s">
        <v>146</v>
      </c>
      <c r="B25" s="9" t="str">
        <f>"BINDER CSIPESZ (CLIPS)"</f>
        <v>BINDER CSIPESZ (CLIPS)</v>
      </c>
      <c r="C25" s="9" t="s">
        <v>49</v>
      </c>
      <c r="D25" s="5"/>
      <c r="E25" s="13"/>
      <c r="F25" s="5"/>
      <c r="G25" s="5">
        <v>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1"/>
      <c r="Y25" s="5"/>
      <c r="Z25" s="5"/>
      <c r="AA25" s="5"/>
      <c r="AB25" s="5"/>
      <c r="AC25" s="5"/>
      <c r="AD25" s="5"/>
      <c r="AE25" s="5"/>
      <c r="AF25" s="5"/>
      <c r="AG25" s="5"/>
      <c r="AH25" s="13"/>
      <c r="AI25" s="5"/>
      <c r="AJ25" s="5"/>
      <c r="AK25" s="5"/>
      <c r="AL25" s="5"/>
      <c r="AM25" s="5"/>
      <c r="AN25" s="5"/>
      <c r="AO25" s="5"/>
      <c r="AP25" s="5">
        <v>1</v>
      </c>
      <c r="AQ25" s="5">
        <v>1</v>
      </c>
      <c r="AR25" s="5">
        <v>1</v>
      </c>
      <c r="AS25" s="5"/>
      <c r="AT25" s="5"/>
      <c r="AU25" s="5"/>
      <c r="AV25" s="5"/>
      <c r="AW25" s="5"/>
      <c r="AX25" s="5"/>
      <c r="AY25" s="5"/>
      <c r="AZ25" s="5"/>
      <c r="BA25" s="5">
        <f t="shared" si="2"/>
        <v>13</v>
      </c>
      <c r="BB25" s="28" t="s">
        <v>19</v>
      </c>
      <c r="BC25" s="5"/>
    </row>
    <row r="26" spans="1:55" s="8" customFormat="1" ht="11.25">
      <c r="A26" s="19" t="s">
        <v>147</v>
      </c>
      <c r="B26" s="9" t="str">
        <f>"BINDER CSIPESZ (CLIPS)"</f>
        <v>BINDER CSIPESZ (CLIPS)</v>
      </c>
      <c r="C26" s="9" t="s">
        <v>48</v>
      </c>
      <c r="D26" s="5"/>
      <c r="E26" s="13"/>
      <c r="F26" s="5"/>
      <c r="G26" s="5"/>
      <c r="H26" s="5"/>
      <c r="I26" s="5"/>
      <c r="J26" s="5"/>
      <c r="K26" s="5"/>
      <c r="L26" s="5"/>
      <c r="M26" s="5"/>
      <c r="N26" s="5">
        <v>3</v>
      </c>
      <c r="O26" s="5"/>
      <c r="P26" s="5"/>
      <c r="Q26" s="5">
        <v>1</v>
      </c>
      <c r="R26" s="5"/>
      <c r="S26" s="5"/>
      <c r="T26" s="5"/>
      <c r="U26" s="5"/>
      <c r="V26" s="5"/>
      <c r="W26" s="5"/>
      <c r="X26" s="11"/>
      <c r="Y26" s="5"/>
      <c r="Z26" s="5"/>
      <c r="AA26" s="5"/>
      <c r="AB26" s="5"/>
      <c r="AC26" s="5"/>
      <c r="AD26" s="5"/>
      <c r="AE26" s="5"/>
      <c r="AF26" s="5"/>
      <c r="AG26" s="5"/>
      <c r="AH26" s="1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>
        <f t="shared" si="2"/>
        <v>4</v>
      </c>
      <c r="BB26" s="28" t="s">
        <v>19</v>
      </c>
      <c r="BC26" s="5"/>
    </row>
    <row r="27" spans="1:55" s="8" customFormat="1" ht="11.25">
      <c r="A27" s="19" t="s">
        <v>148</v>
      </c>
      <c r="B27" s="9" t="str">
        <f>"BINDER CSIPESZ (CLIPS)"</f>
        <v>BINDER CSIPESZ (CLIPS)</v>
      </c>
      <c r="C27" s="9" t="s">
        <v>50</v>
      </c>
      <c r="D27" s="5"/>
      <c r="E27" s="13">
        <v>1</v>
      </c>
      <c r="F27" s="5"/>
      <c r="G27" s="5"/>
      <c r="H27" s="5"/>
      <c r="I27" s="5"/>
      <c r="J27" s="5"/>
      <c r="K27" s="5"/>
      <c r="L27" s="5"/>
      <c r="M27" s="5"/>
      <c r="N27" s="5">
        <v>2</v>
      </c>
      <c r="O27" s="5"/>
      <c r="P27" s="5"/>
      <c r="Q27" s="5"/>
      <c r="R27" s="5"/>
      <c r="S27" s="5"/>
      <c r="T27" s="5"/>
      <c r="U27" s="5"/>
      <c r="V27" s="5"/>
      <c r="W27" s="5"/>
      <c r="X27" s="11"/>
      <c r="Y27" s="5"/>
      <c r="Z27" s="5"/>
      <c r="AA27" s="5"/>
      <c r="AB27" s="5"/>
      <c r="AC27" s="5"/>
      <c r="AD27" s="5"/>
      <c r="AE27" s="5"/>
      <c r="AF27" s="5"/>
      <c r="AG27" s="5"/>
      <c r="AH27" s="13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>
        <v>1</v>
      </c>
      <c r="AZ27" s="5"/>
      <c r="BA27" s="5">
        <f t="shared" si="2"/>
        <v>4</v>
      </c>
      <c r="BB27" s="28" t="s">
        <v>19</v>
      </c>
      <c r="BC27" s="5"/>
    </row>
    <row r="28" spans="1:55" s="9" customFormat="1" ht="11.25" hidden="1">
      <c r="A28" s="19" t="s">
        <v>151</v>
      </c>
      <c r="B28" s="9" t="s">
        <v>33</v>
      </c>
      <c r="D28" s="4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0"/>
      <c r="Y28" s="4"/>
      <c r="Z28" s="4"/>
      <c r="AA28" s="4"/>
      <c r="AB28" s="4"/>
      <c r="AC28" s="4"/>
      <c r="AD28" s="4"/>
      <c r="AE28" s="4"/>
      <c r="AF28" s="4"/>
      <c r="AG28" s="4"/>
      <c r="AH28" s="13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5">
        <f t="shared" si="2"/>
        <v>0</v>
      </c>
      <c r="BB28" s="28" t="s">
        <v>19</v>
      </c>
      <c r="BC28" s="4"/>
    </row>
    <row r="29" spans="1:55" s="9" customFormat="1" ht="11.25" hidden="1">
      <c r="A29" s="19" t="s">
        <v>152</v>
      </c>
      <c r="B29" s="9" t="s">
        <v>33</v>
      </c>
      <c r="C29" s="9" t="str">
        <f>"DELI 0620"</f>
        <v>DELI 0620</v>
      </c>
      <c r="D29" s="4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0"/>
      <c r="Y29" s="4"/>
      <c r="Z29" s="4"/>
      <c r="AA29" s="4"/>
      <c r="AB29" s="4"/>
      <c r="AC29" s="4"/>
      <c r="AD29" s="4"/>
      <c r="AE29" s="4"/>
      <c r="AF29" s="4"/>
      <c r="AG29" s="4"/>
      <c r="AH29" s="13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">
        <f t="shared" si="2"/>
        <v>0</v>
      </c>
      <c r="BB29" s="28" t="s">
        <v>19</v>
      </c>
      <c r="BC29" s="4"/>
    </row>
    <row r="30" spans="1:57" s="9" customFormat="1" ht="11.25" hidden="1">
      <c r="A30" s="19" t="s">
        <v>153</v>
      </c>
      <c r="B30" s="9" t="s">
        <v>33</v>
      </c>
      <c r="D30" s="4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0"/>
      <c r="Y30" s="4"/>
      <c r="Z30" s="4"/>
      <c r="AA30" s="4"/>
      <c r="AB30" s="4"/>
      <c r="AC30" s="4"/>
      <c r="AD30" s="4"/>
      <c r="AE30" s="4"/>
      <c r="AF30" s="4"/>
      <c r="AG30" s="4"/>
      <c r="AH30" s="13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5">
        <f t="shared" si="2"/>
        <v>0</v>
      </c>
      <c r="BB30" s="28" t="s">
        <v>19</v>
      </c>
      <c r="BC30" s="4"/>
      <c r="BE30" s="8"/>
    </row>
    <row r="31" spans="1:55" s="8" customFormat="1" ht="11.25" hidden="1">
      <c r="A31" s="19" t="s">
        <v>154</v>
      </c>
      <c r="B31" s="9" t="s">
        <v>33</v>
      </c>
      <c r="C31" s="9" t="str">
        <f>"080X120 CM"</f>
        <v>080X120 CM</v>
      </c>
      <c r="D31" s="5"/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5"/>
      <c r="Z31" s="5"/>
      <c r="AA31" s="5"/>
      <c r="AB31" s="5"/>
      <c r="AC31" s="5"/>
      <c r="AD31" s="5"/>
      <c r="AE31" s="5"/>
      <c r="AF31" s="5"/>
      <c r="AG31" s="5"/>
      <c r="AH31" s="1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>
        <f t="shared" si="2"/>
        <v>0</v>
      </c>
      <c r="BB31" s="28" t="s">
        <v>19</v>
      </c>
      <c r="BC31" s="5"/>
    </row>
    <row r="32" spans="1:57" s="8" customFormat="1" ht="11.25" hidden="1">
      <c r="A32" s="19" t="s">
        <v>155</v>
      </c>
      <c r="B32" s="9" t="s">
        <v>33</v>
      </c>
      <c r="C32" s="9" t="str">
        <f>"5KG-OS"</f>
        <v>5KG-OS</v>
      </c>
      <c r="D32" s="5"/>
      <c r="E32" s="1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1"/>
      <c r="Y32" s="5"/>
      <c r="Z32" s="5"/>
      <c r="AA32" s="5"/>
      <c r="AB32" s="5"/>
      <c r="AC32" s="5"/>
      <c r="AD32" s="5"/>
      <c r="AE32" s="5"/>
      <c r="AF32" s="5"/>
      <c r="AG32" s="5"/>
      <c r="AH32" s="1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>
        <f t="shared" si="2"/>
        <v>0</v>
      </c>
      <c r="BB32" s="28" t="s">
        <v>19</v>
      </c>
      <c r="BC32" s="5"/>
      <c r="BE32" s="9"/>
    </row>
    <row r="33" spans="1:55" s="9" customFormat="1" ht="11.25" hidden="1">
      <c r="A33" s="19" t="s">
        <v>156</v>
      </c>
      <c r="B33" s="9" t="s">
        <v>33</v>
      </c>
      <c r="C33" s="9" t="str">
        <f>"A/1"</f>
        <v>A/1</v>
      </c>
      <c r="D33" s="4"/>
      <c r="E33" s="1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0"/>
      <c r="Y33" s="4"/>
      <c r="Z33" s="4"/>
      <c r="AA33" s="4"/>
      <c r="AB33" s="4"/>
      <c r="AC33" s="4"/>
      <c r="AD33" s="4"/>
      <c r="AE33" s="4"/>
      <c r="AF33" s="4"/>
      <c r="AG33" s="4"/>
      <c r="AH33" s="1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5">
        <f t="shared" si="2"/>
        <v>0</v>
      </c>
      <c r="BB33" s="28" t="s">
        <v>19</v>
      </c>
      <c r="BC33" s="4"/>
    </row>
    <row r="34" spans="1:57" s="9" customFormat="1" ht="11.25" hidden="1">
      <c r="A34" s="19" t="s">
        <v>157</v>
      </c>
      <c r="B34" s="9" t="s">
        <v>33</v>
      </c>
      <c r="D34" s="4"/>
      <c r="E34" s="1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0"/>
      <c r="Y34" s="4"/>
      <c r="Z34" s="4"/>
      <c r="AA34" s="4"/>
      <c r="AB34" s="4"/>
      <c r="AC34" s="4"/>
      <c r="AD34" s="4"/>
      <c r="AE34" s="4"/>
      <c r="AF34" s="4"/>
      <c r="AG34" s="4"/>
      <c r="AH34" s="13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5">
        <f t="shared" si="2"/>
        <v>0</v>
      </c>
      <c r="BB34" s="28" t="s">
        <v>19</v>
      </c>
      <c r="BC34" s="4"/>
      <c r="BE34" s="8"/>
    </row>
    <row r="35" spans="1:55" s="8" customFormat="1" ht="11.25" hidden="1">
      <c r="A35" s="19" t="s">
        <v>158</v>
      </c>
      <c r="B35" s="9" t="s">
        <v>33</v>
      </c>
      <c r="C35" s="9"/>
      <c r="D35" s="5"/>
      <c r="E35" s="1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1"/>
      <c r="Y35" s="5"/>
      <c r="Z35" s="5"/>
      <c r="AA35" s="5"/>
      <c r="AB35" s="5"/>
      <c r="AC35" s="5"/>
      <c r="AD35" s="5"/>
      <c r="AE35" s="5"/>
      <c r="AF35" s="5"/>
      <c r="AG35" s="5"/>
      <c r="AH35" s="1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>
        <f t="shared" si="2"/>
        <v>0</v>
      </c>
      <c r="BB35" s="28" t="s">
        <v>19</v>
      </c>
      <c r="BC35" s="5"/>
    </row>
    <row r="36" spans="1:55" s="8" customFormat="1" ht="11.25" hidden="1">
      <c r="A36" s="19" t="s">
        <v>159</v>
      </c>
      <c r="B36" s="9" t="s">
        <v>33</v>
      </c>
      <c r="C36" s="9" t="str">
        <f>"A/4 (20/40-ES)"</f>
        <v>A/4 (20/40-ES)</v>
      </c>
      <c r="D36" s="5"/>
      <c r="E36" s="1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1"/>
      <c r="Y36" s="5"/>
      <c r="Z36" s="5"/>
      <c r="AA36" s="5"/>
      <c r="AB36" s="5"/>
      <c r="AC36" s="5"/>
      <c r="AD36" s="5"/>
      <c r="AE36" s="5"/>
      <c r="AF36" s="5"/>
      <c r="AG36" s="5"/>
      <c r="AH36" s="1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>
        <f t="shared" si="2"/>
        <v>0</v>
      </c>
      <c r="BB36" s="28" t="s">
        <v>19</v>
      </c>
      <c r="BC36" s="5"/>
    </row>
    <row r="37" spans="1:55" s="8" customFormat="1" ht="11.25" hidden="1">
      <c r="A37" s="19" t="s">
        <v>160</v>
      </c>
      <c r="B37" s="9" t="s">
        <v>33</v>
      </c>
      <c r="C37" s="9" t="str">
        <f>"A/4 (40/80-AS)"</f>
        <v>A/4 (40/80-AS)</v>
      </c>
      <c r="D37" s="5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1"/>
      <c r="Y37" s="5"/>
      <c r="Z37" s="5"/>
      <c r="AA37" s="5"/>
      <c r="AB37" s="5"/>
      <c r="AC37" s="5"/>
      <c r="AD37" s="5"/>
      <c r="AE37" s="5"/>
      <c r="AF37" s="5"/>
      <c r="AG37" s="5"/>
      <c r="AH37" s="1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>
        <f t="shared" si="2"/>
        <v>0</v>
      </c>
      <c r="BB37" s="28" t="s">
        <v>19</v>
      </c>
      <c r="BC37" s="5"/>
    </row>
    <row r="38" spans="1:55" s="8" customFormat="1" ht="11.25">
      <c r="A38" s="19" t="s">
        <v>149</v>
      </c>
      <c r="B38" s="9" t="str">
        <f>"BINDER CSIPESZ (CLIPS)"</f>
        <v>BINDER CSIPESZ (CLIPS)</v>
      </c>
      <c r="C38" s="9" t="s">
        <v>136</v>
      </c>
      <c r="D38" s="5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1"/>
      <c r="Y38" s="5"/>
      <c r="Z38" s="5"/>
      <c r="AA38" s="5"/>
      <c r="AB38" s="5"/>
      <c r="AC38" s="5"/>
      <c r="AD38" s="5"/>
      <c r="AE38" s="5"/>
      <c r="AF38" s="5"/>
      <c r="AG38" s="5"/>
      <c r="AH38" s="13"/>
      <c r="AI38" s="5"/>
      <c r="AJ38" s="5"/>
      <c r="AK38" s="5"/>
      <c r="AL38" s="5"/>
      <c r="AM38" s="5"/>
      <c r="AN38" s="5"/>
      <c r="AO38" s="5"/>
      <c r="AP38" s="5"/>
      <c r="AQ38" s="5">
        <v>1</v>
      </c>
      <c r="AR38" s="5">
        <v>1</v>
      </c>
      <c r="AS38" s="5"/>
      <c r="AT38" s="5"/>
      <c r="AU38" s="5"/>
      <c r="AV38" s="5"/>
      <c r="AW38" s="5"/>
      <c r="AX38" s="5"/>
      <c r="AY38" s="5">
        <v>1</v>
      </c>
      <c r="AZ38" s="5"/>
      <c r="BA38" s="5">
        <f t="shared" si="2"/>
        <v>3</v>
      </c>
      <c r="BB38" s="28" t="s">
        <v>19</v>
      </c>
      <c r="BC38" s="5"/>
    </row>
    <row r="39" spans="1:55" s="8" customFormat="1" ht="11.25">
      <c r="A39" s="19" t="s">
        <v>150</v>
      </c>
      <c r="B39" s="9" t="str">
        <f aca="true" t="shared" si="3" ref="B39:B49">"BORÍTÉK (ÖNTAPADÓS) SZILIKONOS"</f>
        <v>BORÍTÉK (ÖNTAPADÓS) SZILIKONOS</v>
      </c>
      <c r="C39" s="9" t="s">
        <v>91</v>
      </c>
      <c r="D39" s="5"/>
      <c r="E39" s="13"/>
      <c r="F39" s="5"/>
      <c r="G39" s="5"/>
      <c r="H39" s="5">
        <v>50</v>
      </c>
      <c r="I39" s="5">
        <v>100</v>
      </c>
      <c r="J39" s="5"/>
      <c r="K39" s="5"/>
      <c r="L39" s="5">
        <v>50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1"/>
      <c r="Y39" s="5"/>
      <c r="Z39" s="5"/>
      <c r="AA39" s="5"/>
      <c r="AB39" s="5"/>
      <c r="AC39" s="5"/>
      <c r="AD39" s="5"/>
      <c r="AE39" s="5"/>
      <c r="AF39" s="5"/>
      <c r="AG39" s="5"/>
      <c r="AH39" s="1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>
        <f t="shared" si="2"/>
        <v>200</v>
      </c>
      <c r="BB39" s="28" t="s">
        <v>14</v>
      </c>
      <c r="BC39" s="5"/>
    </row>
    <row r="40" spans="1:55" s="8" customFormat="1" ht="11.25">
      <c r="A40" s="19" t="s">
        <v>151</v>
      </c>
      <c r="B40" s="9" t="str">
        <f t="shared" si="3"/>
        <v>BORÍTÉK (ÖNTAPADÓS) SZILIKONOS</v>
      </c>
      <c r="C40" s="9" t="s">
        <v>44</v>
      </c>
      <c r="D40" s="5"/>
      <c r="E40" s="13"/>
      <c r="F40" s="5"/>
      <c r="G40" s="18">
        <v>2000</v>
      </c>
      <c r="H40" s="5">
        <v>50</v>
      </c>
      <c r="I40" s="5">
        <v>400</v>
      </c>
      <c r="J40" s="5"/>
      <c r="K40" s="5"/>
      <c r="L40" s="5">
        <v>50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"/>
      <c r="Y40" s="5"/>
      <c r="Z40" s="5"/>
      <c r="AA40" s="5"/>
      <c r="AB40" s="5"/>
      <c r="AC40" s="5"/>
      <c r="AD40" s="5"/>
      <c r="AE40" s="5"/>
      <c r="AF40" s="5"/>
      <c r="AG40" s="5"/>
      <c r="AH40" s="1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>
        <v>10</v>
      </c>
      <c r="AZ40" s="5"/>
      <c r="BA40" s="5">
        <f t="shared" si="2"/>
        <v>2510</v>
      </c>
      <c r="BB40" s="28" t="s">
        <v>14</v>
      </c>
      <c r="BC40" s="5"/>
    </row>
    <row r="41" spans="1:55" s="8" customFormat="1" ht="11.25">
      <c r="A41" s="19" t="s">
        <v>152</v>
      </c>
      <c r="B41" s="9" t="str">
        <f t="shared" si="3"/>
        <v>BORÍTÉK (ÖNTAPADÓS) SZILIKONOS</v>
      </c>
      <c r="C41" s="9" t="s">
        <v>45</v>
      </c>
      <c r="D41" s="5">
        <v>20</v>
      </c>
      <c r="E41" s="13"/>
      <c r="F41" s="5"/>
      <c r="G41" s="5"/>
      <c r="H41" s="5">
        <v>100</v>
      </c>
      <c r="I41" s="5">
        <v>600</v>
      </c>
      <c r="J41" s="5"/>
      <c r="K41" s="5"/>
      <c r="L41" s="5">
        <v>200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"/>
      <c r="Y41" s="5"/>
      <c r="Z41" s="5"/>
      <c r="AA41" s="5"/>
      <c r="AB41" s="5"/>
      <c r="AC41" s="5"/>
      <c r="AD41" s="5"/>
      <c r="AE41" s="5"/>
      <c r="AF41" s="5"/>
      <c r="AG41" s="5"/>
      <c r="AH41" s="13"/>
      <c r="AI41" s="5"/>
      <c r="AJ41" s="5"/>
      <c r="AK41" s="5"/>
      <c r="AL41" s="5">
        <v>500</v>
      </c>
      <c r="AM41" s="5"/>
      <c r="AN41" s="5">
        <v>500</v>
      </c>
      <c r="AO41" s="5"/>
      <c r="AP41" s="5"/>
      <c r="AQ41" s="5">
        <v>50</v>
      </c>
      <c r="AR41" s="5">
        <v>50</v>
      </c>
      <c r="AS41" s="5"/>
      <c r="AT41" s="5"/>
      <c r="AU41" s="5"/>
      <c r="AV41" s="5"/>
      <c r="AW41" s="5"/>
      <c r="AX41" s="5"/>
      <c r="AY41" s="5"/>
      <c r="AZ41" s="5"/>
      <c r="BA41" s="5">
        <f t="shared" si="2"/>
        <v>2020</v>
      </c>
      <c r="BB41" s="28" t="s">
        <v>14</v>
      </c>
      <c r="BC41" s="5"/>
    </row>
    <row r="42" spans="1:55" s="8" customFormat="1" ht="11.25" hidden="1">
      <c r="A42" s="19" t="s">
        <v>156</v>
      </c>
      <c r="B42" s="9" t="str">
        <f t="shared" si="3"/>
        <v>BORÍTÉK (ÖNTAPADÓS) SZILIKONOS</v>
      </c>
      <c r="C42" s="9" t="str">
        <f>"A/4"</f>
        <v>A/4</v>
      </c>
      <c r="D42" s="5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1"/>
      <c r="Y42" s="5"/>
      <c r="Z42" s="5"/>
      <c r="AA42" s="5"/>
      <c r="AB42" s="5"/>
      <c r="AC42" s="5"/>
      <c r="AD42" s="5"/>
      <c r="AE42" s="5"/>
      <c r="AF42" s="5"/>
      <c r="AG42" s="5"/>
      <c r="AH42" s="13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>
        <f t="shared" si="2"/>
        <v>0</v>
      </c>
      <c r="BB42" s="28" t="s">
        <v>14</v>
      </c>
      <c r="BC42" s="5"/>
    </row>
    <row r="43" spans="1:55" s="8" customFormat="1" ht="11.25" hidden="1">
      <c r="A43" s="19" t="s">
        <v>157</v>
      </c>
      <c r="B43" s="9" t="str">
        <f t="shared" si="3"/>
        <v>BORÍTÉK (ÖNTAPADÓS) SZILIKONOS</v>
      </c>
      <c r="C43" s="9" t="str">
        <f>"A/5"</f>
        <v>A/5</v>
      </c>
      <c r="D43" s="5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"/>
      <c r="Y43" s="5"/>
      <c r="Z43" s="5"/>
      <c r="AA43" s="5"/>
      <c r="AB43" s="5"/>
      <c r="AC43" s="5"/>
      <c r="AD43" s="5"/>
      <c r="AE43" s="5"/>
      <c r="AF43" s="5"/>
      <c r="AG43" s="5"/>
      <c r="AH43" s="1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>
        <f t="shared" si="2"/>
        <v>0</v>
      </c>
      <c r="BB43" s="28" t="s">
        <v>14</v>
      </c>
      <c r="BC43" s="5"/>
    </row>
    <row r="44" spans="1:55" s="8" customFormat="1" ht="11.25" hidden="1">
      <c r="A44" s="19" t="s">
        <v>158</v>
      </c>
      <c r="B44" s="9" t="str">
        <f t="shared" si="3"/>
        <v>BORÍTÉK (ÖNTAPADÓS) SZILIKONOS</v>
      </c>
      <c r="C44" s="9" t="s">
        <v>9</v>
      </c>
      <c r="D44" s="5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1"/>
      <c r="Y44" s="5"/>
      <c r="Z44" s="5"/>
      <c r="AA44" s="5"/>
      <c r="AB44" s="5"/>
      <c r="AC44" s="5"/>
      <c r="AD44" s="5"/>
      <c r="AE44" s="5"/>
      <c r="AF44" s="5"/>
      <c r="AG44" s="5"/>
      <c r="AH44" s="1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>
        <f t="shared" si="2"/>
        <v>0</v>
      </c>
      <c r="BB44" s="28" t="s">
        <v>14</v>
      </c>
      <c r="BC44" s="5"/>
    </row>
    <row r="45" spans="1:57" s="8" customFormat="1" ht="11.25" hidden="1">
      <c r="A45" s="19" t="s">
        <v>159</v>
      </c>
      <c r="B45" s="9" t="str">
        <f t="shared" si="3"/>
        <v>BORÍTÉK (ÖNTAPADÓS) SZILIKONOS</v>
      </c>
      <c r="C45" s="9"/>
      <c r="D45" s="5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1"/>
      <c r="Y45" s="5"/>
      <c r="Z45" s="5"/>
      <c r="AA45" s="5"/>
      <c r="AB45" s="5"/>
      <c r="AC45" s="5"/>
      <c r="AD45" s="5"/>
      <c r="AE45" s="5"/>
      <c r="AF45" s="5"/>
      <c r="AG45" s="5"/>
      <c r="AH45" s="1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>
        <f t="shared" si="2"/>
        <v>0</v>
      </c>
      <c r="BB45" s="28" t="s">
        <v>14</v>
      </c>
      <c r="BC45" s="5"/>
      <c r="BE45" s="9"/>
    </row>
    <row r="46" spans="1:55" s="9" customFormat="1" ht="11.25" hidden="1">
      <c r="A46" s="19" t="s">
        <v>160</v>
      </c>
      <c r="B46" s="9" t="str">
        <f t="shared" si="3"/>
        <v>BORÍTÉK (ÖNTAPADÓS) SZILIKONOS</v>
      </c>
      <c r="D46" s="4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0"/>
      <c r="Y46" s="4"/>
      <c r="Z46" s="4"/>
      <c r="AA46" s="4"/>
      <c r="AB46" s="4"/>
      <c r="AC46" s="4"/>
      <c r="AD46" s="4"/>
      <c r="AE46" s="4"/>
      <c r="AF46" s="4"/>
      <c r="AG46" s="4"/>
      <c r="AH46" s="13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">
        <f t="shared" si="2"/>
        <v>0</v>
      </c>
      <c r="BB46" s="28" t="s">
        <v>14</v>
      </c>
      <c r="BC46" s="4"/>
    </row>
    <row r="47" spans="1:55" s="9" customFormat="1" ht="11.25" hidden="1">
      <c r="A47" s="19" t="s">
        <v>161</v>
      </c>
      <c r="B47" s="9" t="str">
        <f t="shared" si="3"/>
        <v>BORÍTÉK (ÖNTAPADÓS) SZILIKONOS</v>
      </c>
      <c r="C47" s="9" t="str">
        <f>"B.318-206"</f>
        <v>B.318-206</v>
      </c>
      <c r="D47" s="4"/>
      <c r="E47" s="1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0"/>
      <c r="Y47" s="4"/>
      <c r="Z47" s="4"/>
      <c r="AA47" s="4"/>
      <c r="AB47" s="4"/>
      <c r="AC47" s="4"/>
      <c r="AD47" s="4"/>
      <c r="AE47" s="4"/>
      <c r="AF47" s="4"/>
      <c r="AG47" s="4"/>
      <c r="AH47" s="13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>
        <f t="shared" si="2"/>
        <v>0</v>
      </c>
      <c r="BB47" s="28" t="s">
        <v>14</v>
      </c>
      <c r="BC47" s="4"/>
    </row>
    <row r="48" spans="1:55" s="9" customFormat="1" ht="11.25" hidden="1">
      <c r="A48" s="19" t="s">
        <v>162</v>
      </c>
      <c r="B48" s="9" t="str">
        <f t="shared" si="3"/>
        <v>BORÍTÉK (ÖNTAPADÓS) SZILIKONOS</v>
      </c>
      <c r="C48" s="9" t="str">
        <f>"C.18-72"</f>
        <v>C.18-72</v>
      </c>
      <c r="D48" s="4"/>
      <c r="E48" s="1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0"/>
      <c r="Y48" s="4"/>
      <c r="Z48" s="4"/>
      <c r="AA48" s="4"/>
      <c r="AB48" s="4"/>
      <c r="AC48" s="4"/>
      <c r="AD48" s="4"/>
      <c r="AE48" s="4"/>
      <c r="AF48" s="4"/>
      <c r="AG48" s="4"/>
      <c r="AH48" s="13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5">
        <f t="shared" si="2"/>
        <v>0</v>
      </c>
      <c r="BB48" s="28" t="s">
        <v>14</v>
      </c>
      <c r="BC48" s="4"/>
    </row>
    <row r="49" spans="1:55" s="9" customFormat="1" ht="11.25" hidden="1">
      <c r="A49" s="19" t="s">
        <v>163</v>
      </c>
      <c r="B49" s="9" t="str">
        <f t="shared" si="3"/>
        <v>BORÍTÉK (ÖNTAPADÓS) SZILIKONOS</v>
      </c>
      <c r="D49" s="4"/>
      <c r="E49" s="1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0"/>
      <c r="Y49" s="4"/>
      <c r="Z49" s="4"/>
      <c r="AA49" s="4"/>
      <c r="AB49" s="4"/>
      <c r="AC49" s="4"/>
      <c r="AD49" s="4"/>
      <c r="AE49" s="4"/>
      <c r="AF49" s="4"/>
      <c r="AG49" s="4"/>
      <c r="AH49" s="1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5">
        <f t="shared" si="2"/>
        <v>0</v>
      </c>
      <c r="BB49" s="28" t="s">
        <v>14</v>
      </c>
      <c r="BC49" s="4"/>
    </row>
    <row r="50" spans="1:55" s="9" customFormat="1" ht="11.25">
      <c r="A50" s="19" t="s">
        <v>153</v>
      </c>
      <c r="B50" s="9" t="s">
        <v>137</v>
      </c>
      <c r="C50" s="9" t="s">
        <v>138</v>
      </c>
      <c r="D50" s="4"/>
      <c r="E50" s="13"/>
      <c r="F50" s="4"/>
      <c r="G50" s="4"/>
      <c r="H50" s="4"/>
      <c r="I50" s="4">
        <v>200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0"/>
      <c r="Y50" s="4"/>
      <c r="Z50" s="4"/>
      <c r="AA50" s="4"/>
      <c r="AB50" s="4"/>
      <c r="AC50" s="4"/>
      <c r="AD50" s="4"/>
      <c r="AE50" s="4"/>
      <c r="AF50" s="4"/>
      <c r="AG50" s="4"/>
      <c r="AH50" s="13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5">
        <f t="shared" si="2"/>
        <v>200</v>
      </c>
      <c r="BB50" s="28" t="s">
        <v>14</v>
      </c>
      <c r="BC50" s="4"/>
    </row>
    <row r="51" spans="1:55" s="8" customFormat="1" ht="11.25">
      <c r="A51" s="19" t="s">
        <v>154</v>
      </c>
      <c r="B51" s="9" t="s">
        <v>31</v>
      </c>
      <c r="C51" s="9" t="s">
        <v>10</v>
      </c>
      <c r="D51" s="4">
        <v>5</v>
      </c>
      <c r="E51" s="13"/>
      <c r="F51" s="4"/>
      <c r="G51" s="4"/>
      <c r="H51" s="4">
        <v>2</v>
      </c>
      <c r="I51" s="4">
        <v>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0"/>
      <c r="Y51" s="4"/>
      <c r="Z51" s="4"/>
      <c r="AA51" s="4"/>
      <c r="AB51" s="4"/>
      <c r="AC51" s="4"/>
      <c r="AD51" s="4"/>
      <c r="AE51" s="4"/>
      <c r="AF51" s="4"/>
      <c r="AG51" s="4"/>
      <c r="AH51" s="13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5">
        <f t="shared" si="2"/>
        <v>11</v>
      </c>
      <c r="BB51" s="28" t="s">
        <v>14</v>
      </c>
      <c r="BC51" s="5"/>
    </row>
    <row r="52" spans="1:55" s="9" customFormat="1" ht="11.25">
      <c r="A52" s="19" t="s">
        <v>155</v>
      </c>
      <c r="B52" s="9" t="str">
        <f>"CERUZA (ZEBRA) PIXIRON"</f>
        <v>CERUZA (ZEBRA) PIXIRON</v>
      </c>
      <c r="C52" s="9" t="str">
        <f>"0.5 MM"</f>
        <v>0.5 MM</v>
      </c>
      <c r="D52" s="4">
        <v>3</v>
      </c>
      <c r="E52" s="13"/>
      <c r="F52" s="4"/>
      <c r="G52" s="4"/>
      <c r="H52" s="4"/>
      <c r="I52" s="4">
        <v>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0"/>
      <c r="Y52" s="4"/>
      <c r="Z52" s="4"/>
      <c r="AA52" s="4"/>
      <c r="AB52" s="4"/>
      <c r="AC52" s="4"/>
      <c r="AD52" s="4"/>
      <c r="AE52" s="4"/>
      <c r="AF52" s="4"/>
      <c r="AG52" s="4"/>
      <c r="AH52" s="13"/>
      <c r="AI52" s="4"/>
      <c r="AJ52" s="4"/>
      <c r="AK52" s="4"/>
      <c r="AL52" s="4"/>
      <c r="AM52" s="4"/>
      <c r="AN52" s="4"/>
      <c r="AO52" s="4"/>
      <c r="AP52" s="4">
        <v>1</v>
      </c>
      <c r="AQ52" s="4">
        <v>1</v>
      </c>
      <c r="AR52" s="4">
        <v>1</v>
      </c>
      <c r="AS52" s="4"/>
      <c r="AT52" s="4"/>
      <c r="AU52" s="4"/>
      <c r="AV52" s="4"/>
      <c r="AW52" s="4"/>
      <c r="AX52" s="4"/>
      <c r="AY52" s="4"/>
      <c r="AZ52" s="4"/>
      <c r="BA52" s="5">
        <f t="shared" si="2"/>
        <v>8</v>
      </c>
      <c r="BB52" s="28" t="s">
        <v>14</v>
      </c>
      <c r="BC52" s="4"/>
    </row>
    <row r="53" spans="1:55" s="9" customFormat="1" ht="11.25">
      <c r="A53" s="19" t="s">
        <v>156</v>
      </c>
      <c r="B53" s="9" t="s">
        <v>33</v>
      </c>
      <c r="C53" s="9" t="str">
        <f>"0,5 MM"</f>
        <v>0,5 MM</v>
      </c>
      <c r="D53" s="4">
        <v>6</v>
      </c>
      <c r="E53" s="13"/>
      <c r="F53" s="4"/>
      <c r="G53" s="4"/>
      <c r="H53" s="4">
        <v>2</v>
      </c>
      <c r="I53" s="4">
        <v>2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2</v>
      </c>
      <c r="X53" s="10"/>
      <c r="Y53" s="4"/>
      <c r="Z53" s="4"/>
      <c r="AA53" s="4"/>
      <c r="AB53" s="4"/>
      <c r="AC53" s="4"/>
      <c r="AD53" s="4"/>
      <c r="AE53" s="4"/>
      <c r="AF53" s="4"/>
      <c r="AG53" s="4"/>
      <c r="AH53" s="13"/>
      <c r="AI53" s="4"/>
      <c r="AJ53" s="4"/>
      <c r="AK53" s="4"/>
      <c r="AL53" s="4"/>
      <c r="AM53" s="4"/>
      <c r="AN53" s="4">
        <v>2</v>
      </c>
      <c r="AO53" s="4">
        <v>2</v>
      </c>
      <c r="AP53" s="4">
        <v>1</v>
      </c>
      <c r="AQ53" s="4">
        <v>1</v>
      </c>
      <c r="AR53" s="4">
        <v>1</v>
      </c>
      <c r="AS53" s="4"/>
      <c r="AT53" s="4"/>
      <c r="AU53" s="4"/>
      <c r="AV53" s="4"/>
      <c r="AW53" s="4"/>
      <c r="AX53" s="4"/>
      <c r="AY53" s="4"/>
      <c r="AZ53" s="4"/>
      <c r="BA53" s="5">
        <f t="shared" si="2"/>
        <v>19</v>
      </c>
      <c r="BB53" s="28" t="s">
        <v>14</v>
      </c>
      <c r="BC53" s="4"/>
    </row>
    <row r="54" spans="1:55" s="9" customFormat="1" ht="11.25" hidden="1">
      <c r="A54" s="19" t="s">
        <v>162</v>
      </c>
      <c r="B54" s="9" t="str">
        <f>"EMELŐGÉP NAPLÓ"</f>
        <v>EMELŐGÉP NAPLÓ</v>
      </c>
      <c r="C54" s="9" t="str">
        <f>"A/5"</f>
        <v>A/5</v>
      </c>
      <c r="D54" s="4"/>
      <c r="E54" s="13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0"/>
      <c r="Y54" s="4"/>
      <c r="Z54" s="4"/>
      <c r="AA54" s="4"/>
      <c r="AB54" s="4"/>
      <c r="AC54" s="4"/>
      <c r="AD54" s="4"/>
      <c r="AE54" s="4"/>
      <c r="AF54" s="4"/>
      <c r="AG54" s="4"/>
      <c r="AH54" s="15"/>
      <c r="AI54" s="4"/>
      <c r="AJ54" s="6"/>
      <c r="AK54" s="4"/>
      <c r="AL54" s="4"/>
      <c r="AM54" s="4"/>
      <c r="AN54" s="4"/>
      <c r="AO54" s="4"/>
      <c r="AP54" s="4"/>
      <c r="AQ54" s="4"/>
      <c r="AR54" s="4"/>
      <c r="AS54" s="14"/>
      <c r="AT54" s="14"/>
      <c r="AU54" s="14"/>
      <c r="AV54" s="4"/>
      <c r="AW54" s="4"/>
      <c r="AX54" s="4"/>
      <c r="AY54" s="4"/>
      <c r="AZ54" s="4"/>
      <c r="BA54" s="5">
        <f t="shared" si="2"/>
        <v>0</v>
      </c>
      <c r="BB54" s="28" t="s">
        <v>14</v>
      </c>
      <c r="BC54" s="4"/>
    </row>
    <row r="55" spans="1:55" s="9" customFormat="1" ht="11.25" hidden="1">
      <c r="A55" s="19" t="s">
        <v>163</v>
      </c>
      <c r="B55" s="9" t="str">
        <f>"ENGEDÉLY TŰZVESZÉLYES MUNKAVÉGZÉSHEZ"</f>
        <v>ENGEDÉLY TŰZVESZÉLYES MUNKAVÉGZÉSHEZ</v>
      </c>
      <c r="C55" s="9" t="str">
        <f>"A/4 (25X2)"</f>
        <v>A/4 (25X2)</v>
      </c>
      <c r="D55" s="4"/>
      <c r="E55" s="13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0"/>
      <c r="Y55" s="4"/>
      <c r="Z55" s="4"/>
      <c r="AA55" s="4"/>
      <c r="AB55" s="4"/>
      <c r="AC55" s="4"/>
      <c r="AD55" s="4"/>
      <c r="AE55" s="4"/>
      <c r="AF55" s="4"/>
      <c r="AG55" s="4"/>
      <c r="AH55" s="15"/>
      <c r="AI55" s="4"/>
      <c r="AJ55" s="6"/>
      <c r="AK55" s="4"/>
      <c r="AL55" s="4"/>
      <c r="AM55" s="4"/>
      <c r="AN55" s="4"/>
      <c r="AO55" s="4"/>
      <c r="AP55" s="4"/>
      <c r="AQ55" s="4"/>
      <c r="AR55" s="4"/>
      <c r="AS55" s="14"/>
      <c r="AT55" s="14"/>
      <c r="AU55" s="14"/>
      <c r="AV55" s="4"/>
      <c r="AW55" s="4"/>
      <c r="AX55" s="4"/>
      <c r="AY55" s="4"/>
      <c r="AZ55" s="4"/>
      <c r="BA55" s="5">
        <f t="shared" si="2"/>
        <v>0</v>
      </c>
      <c r="BB55" s="28" t="s">
        <v>14</v>
      </c>
      <c r="BC55" s="4"/>
    </row>
    <row r="56" spans="1:55" s="9" customFormat="1" ht="11.25" hidden="1">
      <c r="A56" s="19" t="s">
        <v>164</v>
      </c>
      <c r="B56" s="9" t="str">
        <f>"ÉPÍTÉSI NAPLÓ (25X3)"</f>
        <v>ÉPÍTÉSI NAPLÓ (25X3)</v>
      </c>
      <c r="C56" s="9" t="str">
        <f>"PÁTRIA"</f>
        <v>PÁTRIA</v>
      </c>
      <c r="D56" s="4"/>
      <c r="E56" s="13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0"/>
      <c r="Y56" s="4"/>
      <c r="Z56" s="4"/>
      <c r="AA56" s="4"/>
      <c r="AB56" s="4"/>
      <c r="AC56" s="4"/>
      <c r="AD56" s="4"/>
      <c r="AE56" s="4"/>
      <c r="AF56" s="4"/>
      <c r="AG56" s="4"/>
      <c r="AH56" s="15"/>
      <c r="AI56" s="4"/>
      <c r="AJ56" s="6"/>
      <c r="AK56" s="4"/>
      <c r="AL56" s="4"/>
      <c r="AM56" s="4"/>
      <c r="AN56" s="4"/>
      <c r="AO56" s="4"/>
      <c r="AP56" s="4"/>
      <c r="AQ56" s="4"/>
      <c r="AR56" s="4"/>
      <c r="AS56" s="14"/>
      <c r="AT56" s="14"/>
      <c r="AU56" s="14"/>
      <c r="AV56" s="4"/>
      <c r="AW56" s="4"/>
      <c r="AX56" s="4"/>
      <c r="AY56" s="4"/>
      <c r="AZ56" s="4"/>
      <c r="BA56" s="5">
        <f t="shared" si="2"/>
        <v>0</v>
      </c>
      <c r="BB56" s="28" t="s">
        <v>14</v>
      </c>
      <c r="BC56" s="4"/>
    </row>
    <row r="57" spans="1:55" s="9" customFormat="1" ht="11.25" hidden="1">
      <c r="A57" s="19" t="s">
        <v>165</v>
      </c>
      <c r="B57" s="9" t="str">
        <f>"ETIKETT CIMKE"</f>
        <v>ETIKETT CIMKE</v>
      </c>
      <c r="C57" s="9" t="str">
        <f>"105X058 MM"</f>
        <v>105X058 MM</v>
      </c>
      <c r="D57" s="4"/>
      <c r="E57" s="13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0"/>
      <c r="Y57" s="4"/>
      <c r="Z57" s="4"/>
      <c r="AA57" s="4"/>
      <c r="AB57" s="4"/>
      <c r="AC57" s="4"/>
      <c r="AD57" s="4"/>
      <c r="AE57" s="4"/>
      <c r="AF57" s="4"/>
      <c r="AG57" s="4"/>
      <c r="AH57" s="15"/>
      <c r="AI57" s="4"/>
      <c r="AJ57" s="6"/>
      <c r="AK57" s="4"/>
      <c r="AL57" s="4"/>
      <c r="AM57" s="4"/>
      <c r="AN57" s="4"/>
      <c r="AO57" s="4"/>
      <c r="AP57" s="4"/>
      <c r="AQ57" s="4"/>
      <c r="AR57" s="4"/>
      <c r="AS57" s="14"/>
      <c r="AT57" s="14"/>
      <c r="AU57" s="14"/>
      <c r="AV57" s="4"/>
      <c r="AW57" s="4"/>
      <c r="AX57" s="4"/>
      <c r="AY57" s="4"/>
      <c r="AZ57" s="4"/>
      <c r="BA57" s="5">
        <f t="shared" si="2"/>
        <v>0</v>
      </c>
      <c r="BB57" s="28" t="s">
        <v>14</v>
      </c>
      <c r="BC57" s="4"/>
    </row>
    <row r="58" spans="1:55" s="9" customFormat="1" ht="11.25" hidden="1">
      <c r="A58" s="19" t="s">
        <v>166</v>
      </c>
      <c r="B58" s="9" t="str">
        <f>"ETIKETT CIMKE"</f>
        <v>ETIKETT CIMKE</v>
      </c>
      <c r="C58" s="9" t="str">
        <f>"35 MM"</f>
        <v>35 MM</v>
      </c>
      <c r="D58" s="4"/>
      <c r="E58" s="13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0"/>
      <c r="Y58" s="4"/>
      <c r="Z58" s="4"/>
      <c r="AA58" s="4"/>
      <c r="AB58" s="4"/>
      <c r="AC58" s="4"/>
      <c r="AD58" s="4"/>
      <c r="AE58" s="4"/>
      <c r="AF58" s="4"/>
      <c r="AG58" s="4"/>
      <c r="AH58" s="15"/>
      <c r="AI58" s="4"/>
      <c r="AJ58" s="6"/>
      <c r="AK58" s="4"/>
      <c r="AL58" s="4"/>
      <c r="AM58" s="4"/>
      <c r="AN58" s="4"/>
      <c r="AO58" s="4"/>
      <c r="AP58" s="4"/>
      <c r="AQ58" s="4"/>
      <c r="AR58" s="4"/>
      <c r="AS58" s="14"/>
      <c r="AT58" s="14"/>
      <c r="AU58" s="14"/>
      <c r="AV58" s="4"/>
      <c r="AW58" s="4"/>
      <c r="AX58" s="4"/>
      <c r="AY58" s="4"/>
      <c r="AZ58" s="4"/>
      <c r="BA58" s="5">
        <f t="shared" si="2"/>
        <v>0</v>
      </c>
      <c r="BB58" s="28" t="s">
        <v>14</v>
      </c>
      <c r="BC58" s="4"/>
    </row>
    <row r="59" spans="1:55" s="9" customFormat="1" ht="11.25" hidden="1">
      <c r="A59" s="19" t="s">
        <v>167</v>
      </c>
      <c r="B59" s="9" t="str">
        <f>"ETIKETT CIMKE"</f>
        <v>ETIKETT CIMKE</v>
      </c>
      <c r="D59" s="4"/>
      <c r="E59" s="13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0"/>
      <c r="Y59" s="4"/>
      <c r="Z59" s="4"/>
      <c r="AA59" s="4"/>
      <c r="AB59" s="4"/>
      <c r="AC59" s="4"/>
      <c r="AD59" s="4"/>
      <c r="AE59" s="4"/>
      <c r="AF59" s="4"/>
      <c r="AG59" s="4"/>
      <c r="AH59" s="15"/>
      <c r="AI59" s="4"/>
      <c r="AJ59" s="6"/>
      <c r="AK59" s="4"/>
      <c r="AL59" s="4"/>
      <c r="AM59" s="4"/>
      <c r="AN59" s="4"/>
      <c r="AO59" s="4"/>
      <c r="AP59" s="4"/>
      <c r="AQ59" s="4"/>
      <c r="AR59" s="4"/>
      <c r="AS59" s="14"/>
      <c r="AT59" s="14"/>
      <c r="AU59" s="14"/>
      <c r="AV59" s="4"/>
      <c r="AW59" s="4"/>
      <c r="AX59" s="4"/>
      <c r="AY59" s="4"/>
      <c r="AZ59" s="4"/>
      <c r="BA59" s="5">
        <f t="shared" si="2"/>
        <v>0</v>
      </c>
      <c r="BB59" s="28" t="s">
        <v>14</v>
      </c>
      <c r="BC59" s="4"/>
    </row>
    <row r="60" spans="1:55" s="9" customFormat="1" ht="11.25">
      <c r="A60" s="19" t="s">
        <v>157</v>
      </c>
      <c r="B60" s="9" t="s">
        <v>92</v>
      </c>
      <c r="D60" s="4">
        <v>2</v>
      </c>
      <c r="E60" s="13"/>
      <c r="F60" s="4"/>
      <c r="G60" s="4"/>
      <c r="H60" s="4"/>
      <c r="I60" s="4">
        <v>1</v>
      </c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0"/>
      <c r="Y60" s="4"/>
      <c r="Z60" s="4"/>
      <c r="AA60" s="4"/>
      <c r="AB60" s="4"/>
      <c r="AC60" s="4"/>
      <c r="AD60" s="4"/>
      <c r="AE60" s="4"/>
      <c r="AF60" s="4"/>
      <c r="AG60" s="4"/>
      <c r="AH60" s="15"/>
      <c r="AI60" s="4"/>
      <c r="AJ60" s="6"/>
      <c r="AK60" s="4"/>
      <c r="AL60" s="4"/>
      <c r="AM60" s="4"/>
      <c r="AN60" s="4"/>
      <c r="AO60" s="4"/>
      <c r="AP60" s="4"/>
      <c r="AQ60" s="4"/>
      <c r="AR60" s="4"/>
      <c r="AS60" s="14"/>
      <c r="AT60" s="14"/>
      <c r="AU60" s="14"/>
      <c r="AV60" s="4"/>
      <c r="AW60" s="4"/>
      <c r="AX60" s="4"/>
      <c r="AY60" s="4"/>
      <c r="AZ60" s="4"/>
      <c r="BA60" s="5">
        <f t="shared" si="2"/>
        <v>3</v>
      </c>
      <c r="BB60" s="28" t="s">
        <v>14</v>
      </c>
      <c r="BC60" s="4"/>
    </row>
    <row r="61" spans="1:55" s="8" customFormat="1" ht="11.25">
      <c r="A61" s="19" t="s">
        <v>158</v>
      </c>
      <c r="B61" s="9" t="str">
        <f>"DOSSZIÉ (MŰANYAG HÁTLAPOS) TOVÁBB FŰZŐS"</f>
        <v>DOSSZIÉ (MŰANYAG HÁTLAPOS) TOVÁBB FŰZŐS</v>
      </c>
      <c r="C61" s="9" t="s">
        <v>61</v>
      </c>
      <c r="D61" s="4"/>
      <c r="E61" s="13"/>
      <c r="F61" s="4"/>
      <c r="G61" s="4"/>
      <c r="H61" s="4"/>
      <c r="I61" s="4"/>
      <c r="J61" s="4"/>
      <c r="K61" s="4"/>
      <c r="L61" s="4">
        <v>100</v>
      </c>
      <c r="M61" s="4"/>
      <c r="N61" s="4"/>
      <c r="O61" s="4"/>
      <c r="P61" s="4"/>
      <c r="Q61" s="4">
        <v>5</v>
      </c>
      <c r="R61" s="4"/>
      <c r="S61" s="4"/>
      <c r="T61" s="4"/>
      <c r="U61" s="4"/>
      <c r="V61" s="4"/>
      <c r="W61" s="4"/>
      <c r="X61" s="10"/>
      <c r="Y61" s="4"/>
      <c r="Z61" s="4"/>
      <c r="AA61" s="4"/>
      <c r="AB61" s="4"/>
      <c r="AC61" s="4"/>
      <c r="AD61" s="4"/>
      <c r="AE61" s="4"/>
      <c r="AF61" s="4"/>
      <c r="AG61" s="4"/>
      <c r="AH61" s="1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5">
        <f t="shared" si="2"/>
        <v>105</v>
      </c>
      <c r="BB61" s="28" t="s">
        <v>14</v>
      </c>
      <c r="BC61" s="5"/>
    </row>
    <row r="62" spans="1:55" s="9" customFormat="1" ht="11.25" hidden="1">
      <c r="A62" s="19" t="s">
        <v>165</v>
      </c>
      <c r="B62" s="9" t="str">
        <f aca="true" t="shared" si="4" ref="B62:B94">"DOSSZIÉ (MŰANYAG HÁTLAPOS) TOVÁBB FŰZŐS"</f>
        <v>DOSSZIÉ (MŰANYAG HÁTLAPOS) TOVÁBB FŰZŐS</v>
      </c>
      <c r="C62" s="9" t="str">
        <f>"99,1X57 MM"</f>
        <v>99,1X57 MM</v>
      </c>
      <c r="D62" s="4"/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0"/>
      <c r="Y62" s="4"/>
      <c r="Z62" s="4"/>
      <c r="AA62" s="4"/>
      <c r="AB62" s="4"/>
      <c r="AC62" s="4"/>
      <c r="AD62" s="4"/>
      <c r="AE62" s="4"/>
      <c r="AF62" s="4"/>
      <c r="AG62" s="4"/>
      <c r="AH62" s="13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5">
        <f t="shared" si="2"/>
        <v>0</v>
      </c>
      <c r="BB62" s="27"/>
      <c r="BC62" s="4"/>
    </row>
    <row r="63" spans="1:55" s="9" customFormat="1" ht="11.25" hidden="1">
      <c r="A63" s="19" t="s">
        <v>166</v>
      </c>
      <c r="B63" s="9" t="str">
        <f t="shared" si="4"/>
        <v>DOSSZIÉ (MŰANYAG HÁTLAPOS) TOVÁBB FŰZŐS</v>
      </c>
      <c r="C63" s="9" t="str">
        <f>"115X086 MM"</f>
        <v>115X086 MM</v>
      </c>
      <c r="D63" s="4"/>
      <c r="E63" s="1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0"/>
      <c r="Y63" s="4"/>
      <c r="Z63" s="4"/>
      <c r="AA63" s="4"/>
      <c r="AB63" s="4"/>
      <c r="AC63" s="4"/>
      <c r="AD63" s="4"/>
      <c r="AE63" s="4"/>
      <c r="AF63" s="4"/>
      <c r="AG63" s="4"/>
      <c r="AH63" s="1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5">
        <f t="shared" si="2"/>
        <v>0</v>
      </c>
      <c r="BB63" s="27"/>
      <c r="BC63" s="4"/>
    </row>
    <row r="64" spans="1:55" s="9" customFormat="1" ht="11.25" hidden="1">
      <c r="A64" s="19" t="s">
        <v>167</v>
      </c>
      <c r="B64" s="9" t="str">
        <f t="shared" si="4"/>
        <v>DOSSZIÉ (MŰANYAG HÁTLAPOS) TOVÁBB FŰZŐS</v>
      </c>
      <c r="C64" s="9" t="str">
        <f>"63,5X38,1 MM"</f>
        <v>63,5X38,1 MM</v>
      </c>
      <c r="D64" s="4"/>
      <c r="E64" s="1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0"/>
      <c r="Y64" s="4"/>
      <c r="Z64" s="4"/>
      <c r="AA64" s="4"/>
      <c r="AB64" s="4"/>
      <c r="AC64" s="4"/>
      <c r="AD64" s="4"/>
      <c r="AE64" s="4"/>
      <c r="AF64" s="4"/>
      <c r="AG64" s="4"/>
      <c r="AH64" s="13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">
        <f t="shared" si="2"/>
        <v>0</v>
      </c>
      <c r="BB64" s="27"/>
      <c r="BC64" s="4"/>
    </row>
    <row r="65" spans="1:55" s="9" customFormat="1" ht="11.25" hidden="1">
      <c r="A65" s="19" t="s">
        <v>168</v>
      </c>
      <c r="B65" s="9" t="str">
        <f t="shared" si="4"/>
        <v>DOSSZIÉ (MŰANYAG HÁTLAPOS) TOVÁBB FŰZŐS</v>
      </c>
      <c r="C65" s="9" t="str">
        <f>"89,0X35,0 MM"</f>
        <v>89,0X35,0 MM</v>
      </c>
      <c r="D65" s="4"/>
      <c r="E65" s="1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0"/>
      <c r="Y65" s="4"/>
      <c r="Z65" s="4"/>
      <c r="AA65" s="4"/>
      <c r="AB65" s="4"/>
      <c r="AC65" s="4"/>
      <c r="AD65" s="4"/>
      <c r="AE65" s="4"/>
      <c r="AF65" s="4"/>
      <c r="AG65" s="4"/>
      <c r="AH65" s="13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5">
        <f t="shared" si="2"/>
        <v>0</v>
      </c>
      <c r="BB65" s="27"/>
      <c r="BC65" s="4"/>
    </row>
    <row r="66" spans="1:55" s="9" customFormat="1" ht="11.25" hidden="1">
      <c r="A66" s="19" t="s">
        <v>169</v>
      </c>
      <c r="B66" s="9" t="str">
        <f t="shared" si="4"/>
        <v>DOSSZIÉ (MŰANYAG HÁTLAPOS) TOVÁBB FŰZŐS</v>
      </c>
      <c r="C66" s="9" t="str">
        <f>"210X148 MM"</f>
        <v>210X148 MM</v>
      </c>
      <c r="D66" s="4"/>
      <c r="E66" s="1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0"/>
      <c r="Y66" s="4"/>
      <c r="Z66" s="4"/>
      <c r="AA66" s="4"/>
      <c r="AB66" s="4"/>
      <c r="AC66" s="4"/>
      <c r="AD66" s="4"/>
      <c r="AE66" s="4"/>
      <c r="AF66" s="4"/>
      <c r="AG66" s="4"/>
      <c r="AH66" s="13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5">
        <f t="shared" si="2"/>
        <v>0</v>
      </c>
      <c r="BB66" s="27"/>
      <c r="BC66" s="4"/>
    </row>
    <row r="67" spans="1:55" s="9" customFormat="1" ht="11.25" hidden="1">
      <c r="A67" s="19" t="s">
        <v>170</v>
      </c>
      <c r="B67" s="9" t="str">
        <f t="shared" si="4"/>
        <v>DOSSZIÉ (MŰANYAG HÁTLAPOS) TOVÁBB FŰZŐS</v>
      </c>
      <c r="C67" s="9" t="str">
        <f>"210X297 MM"</f>
        <v>210X297 MM</v>
      </c>
      <c r="D67" s="4"/>
      <c r="E67" s="1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0"/>
      <c r="Y67" s="4"/>
      <c r="Z67" s="4"/>
      <c r="AA67" s="4"/>
      <c r="AB67" s="4"/>
      <c r="AC67" s="4"/>
      <c r="AD67" s="4"/>
      <c r="AE67" s="4"/>
      <c r="AF67" s="4"/>
      <c r="AG67" s="4"/>
      <c r="AH67" s="13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>
        <f t="shared" si="2"/>
        <v>0</v>
      </c>
      <c r="BB67" s="27"/>
      <c r="BC67" s="4"/>
    </row>
    <row r="68" spans="1:55" s="9" customFormat="1" ht="11.25" hidden="1">
      <c r="A68" s="19" t="s">
        <v>171</v>
      </c>
      <c r="B68" s="9" t="str">
        <f t="shared" si="4"/>
        <v>DOSSZIÉ (MŰANYAG HÁTLAPOS) TOVÁBB FŰZŐS</v>
      </c>
      <c r="C68" s="9" t="str">
        <f>"PANASONIC KX-FA 54X"</f>
        <v>PANASONIC KX-FA 54X</v>
      </c>
      <c r="D68" s="4"/>
      <c r="E68" s="1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0"/>
      <c r="Y68" s="4"/>
      <c r="Z68" s="4"/>
      <c r="AA68" s="4"/>
      <c r="AB68" s="4"/>
      <c r="AC68" s="4"/>
      <c r="AD68" s="4"/>
      <c r="AE68" s="4"/>
      <c r="AF68" s="4"/>
      <c r="AG68" s="4"/>
      <c r="AH68" s="1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5">
        <f t="shared" si="2"/>
        <v>0</v>
      </c>
      <c r="BB68" s="27"/>
      <c r="BC68" s="4"/>
    </row>
    <row r="69" spans="1:57" s="8" customFormat="1" ht="11.25" hidden="1">
      <c r="A69" s="19" t="s">
        <v>172</v>
      </c>
      <c r="B69" s="9" t="str">
        <f t="shared" si="4"/>
        <v>DOSSZIÉ (MŰANYAG HÁTLAPOS) TOVÁBB FŰZŐS</v>
      </c>
      <c r="C69" s="9" t="str">
        <f>"A/4"</f>
        <v>A/4</v>
      </c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1"/>
      <c r="Y69" s="5"/>
      <c r="Z69" s="5"/>
      <c r="AA69" s="5"/>
      <c r="AB69" s="5"/>
      <c r="AC69" s="5"/>
      <c r="AD69" s="5"/>
      <c r="AE69" s="5"/>
      <c r="AF69" s="5"/>
      <c r="AG69" s="5"/>
      <c r="AH69" s="13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>
        <f t="shared" si="2"/>
        <v>0</v>
      </c>
      <c r="BB69" s="28"/>
      <c r="BC69" s="5"/>
      <c r="BE69" s="9"/>
    </row>
    <row r="70" spans="1:55" s="9" customFormat="1" ht="11.25" hidden="1">
      <c r="A70" s="19" t="s">
        <v>173</v>
      </c>
      <c r="B70" s="9" t="str">
        <f t="shared" si="4"/>
        <v>DOSSZIÉ (MŰANYAG HÁTLAPOS) TOVÁBB FŰZŐS</v>
      </c>
      <c r="C70" s="9" t="str">
        <f>"TŰZVESZÉLYES TEVÉKENYSÉG VÉGZÉSÉHEZ"</f>
        <v>TŰZVESZÉLYES TEVÉKENYSÉG VÉGZÉSÉHEZ</v>
      </c>
      <c r="D70" s="4"/>
      <c r="E70" s="1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0"/>
      <c r="Y70" s="4"/>
      <c r="Z70" s="4"/>
      <c r="AA70" s="4"/>
      <c r="AB70" s="4"/>
      <c r="AC70" s="4"/>
      <c r="AD70" s="4"/>
      <c r="AE70" s="4"/>
      <c r="AF70" s="4"/>
      <c r="AG70" s="4"/>
      <c r="AH70" s="13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5">
        <f t="shared" si="2"/>
        <v>0</v>
      </c>
      <c r="BB70" s="27"/>
      <c r="BC70" s="4"/>
    </row>
    <row r="71" spans="1:57" s="9" customFormat="1" ht="11.25" hidden="1">
      <c r="A71" s="19" t="s">
        <v>174</v>
      </c>
      <c r="B71" s="9" t="str">
        <f t="shared" si="4"/>
        <v>DOSSZIÉ (MŰANYAG HÁTLAPOS) TOVÁBB FŰZŐS</v>
      </c>
      <c r="D71" s="4"/>
      <c r="E71" s="1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0"/>
      <c r="Y71" s="4"/>
      <c r="Z71" s="4"/>
      <c r="AA71" s="4"/>
      <c r="AB71" s="4"/>
      <c r="AC71" s="4"/>
      <c r="AD71" s="4"/>
      <c r="AE71" s="4"/>
      <c r="AF71" s="4"/>
      <c r="AG71" s="4"/>
      <c r="AH71" s="1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5">
        <f t="shared" si="2"/>
        <v>0</v>
      </c>
      <c r="BB71" s="27"/>
      <c r="BC71" s="4"/>
      <c r="BE71" s="8"/>
    </row>
    <row r="72" spans="1:55" s="8" customFormat="1" ht="11.25" hidden="1">
      <c r="A72" s="19" t="s">
        <v>175</v>
      </c>
      <c r="B72" s="9" t="str">
        <f t="shared" si="4"/>
        <v>DOSSZIÉ (MŰANYAG HÁTLAPOS) TOVÁBB FŰZŐS</v>
      </c>
      <c r="C72" s="9" t="str">
        <f>"A/4 (80 GRAMM)"</f>
        <v>A/4 (80 GRAMM)</v>
      </c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1"/>
      <c r="Y72" s="5"/>
      <c r="Z72" s="5"/>
      <c r="AA72" s="5"/>
      <c r="AB72" s="5"/>
      <c r="AC72" s="5"/>
      <c r="AD72" s="5"/>
      <c r="AE72" s="5"/>
      <c r="AF72" s="5"/>
      <c r="AG72" s="5"/>
      <c r="AH72" s="13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>
        <f t="shared" si="2"/>
        <v>0</v>
      </c>
      <c r="BB72" s="28"/>
      <c r="BC72" s="5"/>
    </row>
    <row r="73" spans="1:55" s="8" customFormat="1" ht="11.25" hidden="1">
      <c r="A73" s="19" t="s">
        <v>176</v>
      </c>
      <c r="B73" s="9" t="str">
        <f t="shared" si="4"/>
        <v>DOSSZIÉ (MŰANYAG HÁTLAPOS) TOVÁBB FŰZŐS</v>
      </c>
      <c r="C73" s="9" t="str">
        <f>"A/4"</f>
        <v>A/4</v>
      </c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1"/>
      <c r="Y73" s="5"/>
      <c r="Z73" s="5"/>
      <c r="AA73" s="5"/>
      <c r="AB73" s="5"/>
      <c r="AC73" s="5"/>
      <c r="AD73" s="5"/>
      <c r="AE73" s="5"/>
      <c r="AF73" s="5"/>
      <c r="AG73" s="5"/>
      <c r="AH73" s="13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>
        <f t="shared" si="2"/>
        <v>0</v>
      </c>
      <c r="BB73" s="28"/>
      <c r="BC73" s="5"/>
    </row>
    <row r="74" spans="1:55" s="8" customFormat="1" ht="11.25" hidden="1">
      <c r="A74" s="19" t="s">
        <v>177</v>
      </c>
      <c r="B74" s="9" t="str">
        <f t="shared" si="4"/>
        <v>DOSSZIÉ (MŰANYAG HÁTLAPOS) TOVÁBB FŰZŐS</v>
      </c>
      <c r="C74" s="9" t="str">
        <f>"A/4 (80 GRAMM)"</f>
        <v>A/4 (80 GRAMM)</v>
      </c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1"/>
      <c r="Y74" s="5"/>
      <c r="Z74" s="5"/>
      <c r="AA74" s="5"/>
      <c r="AB74" s="5"/>
      <c r="AC74" s="5"/>
      <c r="AD74" s="5"/>
      <c r="AE74" s="5"/>
      <c r="AF74" s="5"/>
      <c r="AG74" s="5"/>
      <c r="AH74" s="13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>
        <f t="shared" si="2"/>
        <v>0</v>
      </c>
      <c r="BB74" s="28"/>
      <c r="BC74" s="5"/>
    </row>
    <row r="75" spans="1:55" s="8" customFormat="1" ht="11.25" hidden="1">
      <c r="A75" s="19" t="s">
        <v>178</v>
      </c>
      <c r="B75" s="9" t="str">
        <f t="shared" si="4"/>
        <v>DOSSZIÉ (MŰANYAG HÁTLAPOS) TOVÁBB FŰZŐS</v>
      </c>
      <c r="C75" s="9" t="str">
        <f>"A/3 (80 GRAMM)"</f>
        <v>A/3 (80 GRAMM)</v>
      </c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"/>
      <c r="Y75" s="5"/>
      <c r="Z75" s="5"/>
      <c r="AA75" s="5"/>
      <c r="AB75" s="5"/>
      <c r="AC75" s="5"/>
      <c r="AD75" s="5"/>
      <c r="AE75" s="5"/>
      <c r="AF75" s="5"/>
      <c r="AG75" s="5"/>
      <c r="AH75" s="13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>
        <f t="shared" si="2"/>
        <v>0</v>
      </c>
      <c r="BB75" s="28"/>
      <c r="BC75" s="5"/>
    </row>
    <row r="76" spans="1:55" s="8" customFormat="1" ht="11.25" hidden="1">
      <c r="A76" s="19" t="s">
        <v>179</v>
      </c>
      <c r="B76" s="9" t="str">
        <f t="shared" si="4"/>
        <v>DOSSZIÉ (MŰANYAG HÁTLAPOS) TOVÁBB FŰZŐS</v>
      </c>
      <c r="C76" s="9" t="str">
        <f>"A/4 (80 GRAMM)"</f>
        <v>A/4 (80 GRAMM)</v>
      </c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1"/>
      <c r="Y76" s="5"/>
      <c r="Z76" s="5"/>
      <c r="AA76" s="5"/>
      <c r="AB76" s="5"/>
      <c r="AC76" s="5"/>
      <c r="AD76" s="5"/>
      <c r="AE76" s="5"/>
      <c r="AF76" s="5"/>
      <c r="AG76" s="5"/>
      <c r="AH76" s="13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>
        <f t="shared" si="2"/>
        <v>0</v>
      </c>
      <c r="BB76" s="28"/>
      <c r="BC76" s="5"/>
    </row>
    <row r="77" spans="1:55" s="9" customFormat="1" ht="11.25">
      <c r="A77" s="19" t="s">
        <v>159</v>
      </c>
      <c r="B77" s="9" t="str">
        <f t="shared" si="4"/>
        <v>DOSSZIÉ (MŰANYAG HÁTLAPOS) TOVÁBB FŰZŐS</v>
      </c>
      <c r="C77" s="9" t="s">
        <v>77</v>
      </c>
      <c r="D77" s="5"/>
      <c r="E77" s="13"/>
      <c r="F77" s="5"/>
      <c r="G77" s="5">
        <v>50</v>
      </c>
      <c r="H77" s="5"/>
      <c r="I77" s="5"/>
      <c r="J77" s="5"/>
      <c r="K77" s="5"/>
      <c r="L77" s="5"/>
      <c r="M77" s="5"/>
      <c r="N77" s="5"/>
      <c r="O77" s="5"/>
      <c r="P77" s="5"/>
      <c r="Q77" s="5">
        <v>5</v>
      </c>
      <c r="R77" s="5"/>
      <c r="S77" s="5"/>
      <c r="T77" s="5"/>
      <c r="U77" s="5"/>
      <c r="V77" s="5"/>
      <c r="W77" s="5"/>
      <c r="X77" s="11"/>
      <c r="Y77" s="5"/>
      <c r="Z77" s="5"/>
      <c r="AA77" s="5"/>
      <c r="AB77" s="5"/>
      <c r="AC77" s="5"/>
      <c r="AD77" s="5"/>
      <c r="AE77" s="5"/>
      <c r="AF77" s="5"/>
      <c r="AG77" s="5"/>
      <c r="AH77" s="13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>
        <f t="shared" si="2"/>
        <v>55</v>
      </c>
      <c r="BB77" s="28" t="s">
        <v>14</v>
      </c>
      <c r="BC77" s="4"/>
    </row>
    <row r="78" spans="1:55" s="9" customFormat="1" ht="11.25" hidden="1">
      <c r="A78" s="19" t="s">
        <v>166</v>
      </c>
      <c r="B78" s="9" t="str">
        <f t="shared" si="4"/>
        <v>DOSSZIÉ (MŰANYAG HÁTLAPOS) TOVÁBB FŰZŐS</v>
      </c>
      <c r="D78" s="4"/>
      <c r="E78" s="1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0"/>
      <c r="Y78" s="4"/>
      <c r="Z78" s="4"/>
      <c r="AA78" s="4"/>
      <c r="AB78" s="4"/>
      <c r="AC78" s="4"/>
      <c r="AD78" s="4"/>
      <c r="AE78" s="4"/>
      <c r="AF78" s="4"/>
      <c r="AG78" s="4"/>
      <c r="AH78" s="13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5">
        <f t="shared" si="2"/>
        <v>0</v>
      </c>
      <c r="BB78" s="27"/>
      <c r="BC78" s="4"/>
    </row>
    <row r="79" spans="1:55" s="9" customFormat="1" ht="11.25" hidden="1">
      <c r="A79" s="19" t="s">
        <v>167</v>
      </c>
      <c r="B79" s="9" t="str">
        <f t="shared" si="4"/>
        <v>DOSSZIÉ (MŰANYAG HÁTLAPOS) TOVÁBB FŰZŐS</v>
      </c>
      <c r="D79" s="4"/>
      <c r="E79" s="1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0"/>
      <c r="Y79" s="4"/>
      <c r="Z79" s="4"/>
      <c r="AA79" s="4"/>
      <c r="AB79" s="4"/>
      <c r="AC79" s="4"/>
      <c r="AD79" s="4"/>
      <c r="AE79" s="4"/>
      <c r="AF79" s="4"/>
      <c r="AG79" s="4"/>
      <c r="AH79" s="13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5">
        <f aca="true" t="shared" si="5" ref="BA79:BA139">SUM(D79:AZ79)</f>
        <v>0</v>
      </c>
      <c r="BB79" s="27"/>
      <c r="BC79" s="4"/>
    </row>
    <row r="80" spans="1:55" s="9" customFormat="1" ht="11.25" hidden="1">
      <c r="A80" s="19" t="s">
        <v>168</v>
      </c>
      <c r="B80" s="9" t="str">
        <f t="shared" si="4"/>
        <v>DOSSZIÉ (MŰANYAG HÁTLAPOS) TOVÁBB FŰZŐS</v>
      </c>
      <c r="C80" s="9" t="str">
        <f>"SHARP ASZTALI SZÁMOLÓGÉPHEZ"</f>
        <v>SHARP ASZTALI SZÁMOLÓGÉPHEZ</v>
      </c>
      <c r="D80" s="4"/>
      <c r="E80" s="1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0"/>
      <c r="Y80" s="4"/>
      <c r="Z80" s="4"/>
      <c r="AA80" s="4"/>
      <c r="AB80" s="4"/>
      <c r="AC80" s="4"/>
      <c r="AD80" s="4"/>
      <c r="AE80" s="4"/>
      <c r="AF80" s="4"/>
      <c r="AG80" s="4"/>
      <c r="AH80" s="13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5">
        <f t="shared" si="5"/>
        <v>0</v>
      </c>
      <c r="BB80" s="27"/>
      <c r="BC80" s="4"/>
    </row>
    <row r="81" spans="1:55" s="9" customFormat="1" ht="11.25" hidden="1">
      <c r="A81" s="19" t="s">
        <v>169</v>
      </c>
      <c r="B81" s="9" t="str">
        <f t="shared" si="4"/>
        <v>DOSSZIÉ (MŰANYAG HÁTLAPOS) TOVÁBB FŰZŐS</v>
      </c>
      <c r="D81" s="4"/>
      <c r="E81" s="1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0"/>
      <c r="Y81" s="4"/>
      <c r="Z81" s="4"/>
      <c r="AA81" s="4"/>
      <c r="AB81" s="4"/>
      <c r="AC81" s="4"/>
      <c r="AD81" s="4"/>
      <c r="AE81" s="4"/>
      <c r="AF81" s="4"/>
      <c r="AG81" s="4"/>
      <c r="AH81" s="13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5">
        <f t="shared" si="5"/>
        <v>0</v>
      </c>
      <c r="BB81" s="27"/>
      <c r="BC81" s="4"/>
    </row>
    <row r="82" spans="1:55" s="9" customFormat="1" ht="11.25" hidden="1">
      <c r="A82" s="19" t="s">
        <v>170</v>
      </c>
      <c r="B82" s="9" t="str">
        <f t="shared" si="4"/>
        <v>DOSSZIÉ (MŰANYAG HÁTLAPOS) TOVÁBB FŰZŐS</v>
      </c>
      <c r="D82" s="4"/>
      <c r="E82" s="1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0"/>
      <c r="Y82" s="4"/>
      <c r="Z82" s="4"/>
      <c r="AA82" s="4"/>
      <c r="AB82" s="4"/>
      <c r="AC82" s="4"/>
      <c r="AD82" s="4"/>
      <c r="AE82" s="4"/>
      <c r="AF82" s="4"/>
      <c r="AG82" s="4"/>
      <c r="AH82" s="13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5">
        <f t="shared" si="5"/>
        <v>0</v>
      </c>
      <c r="BB82" s="27"/>
      <c r="BC82" s="4"/>
    </row>
    <row r="83" spans="1:55" s="9" customFormat="1" ht="11.25" hidden="1">
      <c r="A83" s="19" t="s">
        <v>171</v>
      </c>
      <c r="B83" s="9" t="str">
        <f t="shared" si="4"/>
        <v>DOSSZIÉ (MŰANYAG HÁTLAPOS) TOVÁBB FŰZŐS</v>
      </c>
      <c r="D83" s="4"/>
      <c r="E83" s="1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0"/>
      <c r="Y83" s="4"/>
      <c r="Z83" s="4"/>
      <c r="AA83" s="4"/>
      <c r="AB83" s="4"/>
      <c r="AC83" s="4"/>
      <c r="AD83" s="4"/>
      <c r="AE83" s="4"/>
      <c r="AF83" s="4"/>
      <c r="AG83" s="4"/>
      <c r="AH83" s="13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5">
        <f t="shared" si="5"/>
        <v>0</v>
      </c>
      <c r="BB83" s="27"/>
      <c r="BC83" s="4"/>
    </row>
    <row r="84" spans="1:55" s="9" customFormat="1" ht="11.25" hidden="1">
      <c r="A84" s="19" t="s">
        <v>172</v>
      </c>
      <c r="B84" s="9" t="str">
        <f t="shared" si="4"/>
        <v>DOSSZIÉ (MŰANYAG HÁTLAPOS) TOVÁBB FŰZŐS</v>
      </c>
      <c r="D84" s="4"/>
      <c r="E84" s="1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0"/>
      <c r="Y84" s="4"/>
      <c r="Z84" s="4"/>
      <c r="AA84" s="4"/>
      <c r="AB84" s="4"/>
      <c r="AC84" s="4"/>
      <c r="AD84" s="4"/>
      <c r="AE84" s="4"/>
      <c r="AF84" s="4"/>
      <c r="AG84" s="4"/>
      <c r="AH84" s="13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5">
        <f t="shared" si="5"/>
        <v>0</v>
      </c>
      <c r="BB84" s="27"/>
      <c r="BC84" s="4"/>
    </row>
    <row r="85" spans="1:57" s="9" customFormat="1" ht="11.25" hidden="1">
      <c r="A85" s="19" t="s">
        <v>173</v>
      </c>
      <c r="B85" s="9" t="str">
        <f t="shared" si="4"/>
        <v>DOSSZIÉ (MŰANYAG HÁTLAPOS) TOVÁBB FŰZŐS</v>
      </c>
      <c r="D85" s="4"/>
      <c r="E85" s="1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0"/>
      <c r="Y85" s="4"/>
      <c r="Z85" s="4"/>
      <c r="AA85" s="4"/>
      <c r="AB85" s="4"/>
      <c r="AC85" s="4"/>
      <c r="AD85" s="4"/>
      <c r="AE85" s="4"/>
      <c r="AF85" s="4"/>
      <c r="AG85" s="4"/>
      <c r="AH85" s="13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5">
        <f t="shared" si="5"/>
        <v>0</v>
      </c>
      <c r="BB85" s="27"/>
      <c r="BC85" s="4"/>
      <c r="BE85" s="8"/>
    </row>
    <row r="86" spans="1:55" s="8" customFormat="1" ht="11.25" hidden="1">
      <c r="A86" s="19" t="s">
        <v>174</v>
      </c>
      <c r="B86" s="9" t="str">
        <f t="shared" si="4"/>
        <v>DOSSZIÉ (MŰANYAG HÁTLAPOS) TOVÁBB FŰZŐS</v>
      </c>
      <c r="C86" s="9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1"/>
      <c r="Y86" s="5"/>
      <c r="Z86" s="5"/>
      <c r="AA86" s="5"/>
      <c r="AB86" s="5"/>
      <c r="AC86" s="5"/>
      <c r="AD86" s="5"/>
      <c r="AE86" s="5"/>
      <c r="AF86" s="5"/>
      <c r="AG86" s="5"/>
      <c r="AH86" s="13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>
        <f t="shared" si="5"/>
        <v>0</v>
      </c>
      <c r="BB86" s="28"/>
      <c r="BC86" s="5"/>
    </row>
    <row r="87" spans="1:55" s="8" customFormat="1" ht="11.25" hidden="1">
      <c r="A87" s="19" t="s">
        <v>175</v>
      </c>
      <c r="B87" s="9" t="str">
        <f t="shared" si="4"/>
        <v>DOSSZIÉ (MŰANYAG HÁTLAPOS) TOVÁBB FŰZŐS</v>
      </c>
      <c r="C87" s="9" t="str">
        <f>"A/4 (102GR/M2) 100DB-OS"</f>
        <v>A/4 (102GR/M2) 100DB-OS</v>
      </c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"/>
      <c r="Y87" s="5"/>
      <c r="Z87" s="5"/>
      <c r="AA87" s="5"/>
      <c r="AB87" s="5"/>
      <c r="AC87" s="5"/>
      <c r="AD87" s="5"/>
      <c r="AE87" s="5"/>
      <c r="AF87" s="5"/>
      <c r="AG87" s="5"/>
      <c r="AH87" s="13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>
        <f t="shared" si="5"/>
        <v>0</v>
      </c>
      <c r="BB87" s="28"/>
      <c r="BC87" s="5"/>
    </row>
    <row r="88" spans="1:55" s="8" customFormat="1" ht="11.25" hidden="1">
      <c r="A88" s="19" t="s">
        <v>176</v>
      </c>
      <c r="B88" s="9" t="str">
        <f t="shared" si="4"/>
        <v>DOSSZIÉ (MŰANYAG HÁTLAPOS) TOVÁBB FŰZŐS</v>
      </c>
      <c r="C88" s="9" t="str">
        <f>"A/4"</f>
        <v>A/4</v>
      </c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1"/>
      <c r="Y88" s="5"/>
      <c r="Z88" s="5"/>
      <c r="AA88" s="5"/>
      <c r="AB88" s="5"/>
      <c r="AC88" s="5"/>
      <c r="AD88" s="5"/>
      <c r="AE88" s="5"/>
      <c r="AF88" s="5"/>
      <c r="AG88" s="5"/>
      <c r="AH88" s="13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>
        <f t="shared" si="5"/>
        <v>0</v>
      </c>
      <c r="BB88" s="28"/>
      <c r="BC88" s="5"/>
    </row>
    <row r="89" spans="1:55" s="8" customFormat="1" ht="11.25" hidden="1">
      <c r="A89" s="19" t="s">
        <v>177</v>
      </c>
      <c r="B89" s="9" t="str">
        <f t="shared" si="4"/>
        <v>DOSSZIÉ (MŰANYAG HÁTLAPOS) TOVÁBB FŰZŐS</v>
      </c>
      <c r="C89" s="9" t="str">
        <f>"A/4"</f>
        <v>A/4</v>
      </c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1"/>
      <c r="Y89" s="5"/>
      <c r="Z89" s="5"/>
      <c r="AA89" s="5"/>
      <c r="AB89" s="5"/>
      <c r="AC89" s="5"/>
      <c r="AD89" s="5"/>
      <c r="AE89" s="5"/>
      <c r="AF89" s="5"/>
      <c r="AG89" s="5"/>
      <c r="AH89" s="1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>
        <f t="shared" si="5"/>
        <v>0</v>
      </c>
      <c r="BB89" s="28"/>
      <c r="BC89" s="5"/>
    </row>
    <row r="90" spans="1:55" s="8" customFormat="1" ht="11.25" hidden="1">
      <c r="A90" s="19" t="s">
        <v>178</v>
      </c>
      <c r="B90" s="9" t="str">
        <f t="shared" si="4"/>
        <v>DOSSZIÉ (MŰANYAG HÁTLAPOS) TOVÁBB FŰZŐS</v>
      </c>
      <c r="C90" s="9" t="str">
        <f>"A/3"</f>
        <v>A/3</v>
      </c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1"/>
      <c r="Y90" s="5"/>
      <c r="Z90" s="5"/>
      <c r="AA90" s="5"/>
      <c r="AB90" s="5"/>
      <c r="AC90" s="5"/>
      <c r="AD90" s="5"/>
      <c r="AE90" s="5"/>
      <c r="AF90" s="5"/>
      <c r="AG90" s="5"/>
      <c r="AH90" s="1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>
        <f t="shared" si="5"/>
        <v>0</v>
      </c>
      <c r="BB90" s="28"/>
      <c r="BC90" s="5"/>
    </row>
    <row r="91" spans="1:57" s="8" customFormat="1" ht="11.25" hidden="1">
      <c r="A91" s="19" t="s">
        <v>179</v>
      </c>
      <c r="B91" s="9" t="str">
        <f t="shared" si="4"/>
        <v>DOSSZIÉ (MŰANYAG HÁTLAPOS) TOVÁBB FŰZŐS</v>
      </c>
      <c r="C91" s="9" t="str">
        <f>"A/4"</f>
        <v>A/4</v>
      </c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"/>
      <c r="Y91" s="5"/>
      <c r="Z91" s="5"/>
      <c r="AA91" s="5"/>
      <c r="AB91" s="5"/>
      <c r="AC91" s="5"/>
      <c r="AD91" s="5"/>
      <c r="AE91" s="5"/>
      <c r="AF91" s="5"/>
      <c r="AG91" s="5"/>
      <c r="AH91" s="13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>
        <f t="shared" si="5"/>
        <v>0</v>
      </c>
      <c r="BB91" s="28"/>
      <c r="BC91" s="5"/>
      <c r="BE91" s="9"/>
    </row>
    <row r="92" spans="1:55" s="8" customFormat="1" ht="11.25">
      <c r="A92" s="19" t="s">
        <v>160</v>
      </c>
      <c r="B92" s="9" t="str">
        <f t="shared" si="4"/>
        <v>DOSSZIÉ (MŰANYAG HÁTLAPOS) TOVÁBB FŰZŐS</v>
      </c>
      <c r="C92" s="9" t="s">
        <v>79</v>
      </c>
      <c r="D92" s="5"/>
      <c r="E92" s="13"/>
      <c r="F92" s="5"/>
      <c r="G92" s="5">
        <v>50</v>
      </c>
      <c r="H92" s="5"/>
      <c r="I92" s="5"/>
      <c r="J92" s="5"/>
      <c r="K92" s="5"/>
      <c r="L92" s="5"/>
      <c r="M92" s="5"/>
      <c r="N92" s="5"/>
      <c r="O92" s="5"/>
      <c r="P92" s="5"/>
      <c r="Q92" s="5">
        <v>5</v>
      </c>
      <c r="R92" s="5"/>
      <c r="S92" s="5"/>
      <c r="T92" s="5"/>
      <c r="U92" s="5"/>
      <c r="V92" s="5"/>
      <c r="W92" s="5"/>
      <c r="X92" s="11"/>
      <c r="Y92" s="5"/>
      <c r="Z92" s="5"/>
      <c r="AA92" s="5"/>
      <c r="AB92" s="5"/>
      <c r="AC92" s="5"/>
      <c r="AD92" s="5"/>
      <c r="AE92" s="5"/>
      <c r="AF92" s="5"/>
      <c r="AG92" s="5"/>
      <c r="AH92" s="13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>
        <v>10</v>
      </c>
      <c r="AZ92" s="5"/>
      <c r="BA92" s="5">
        <f t="shared" si="5"/>
        <v>65</v>
      </c>
      <c r="BB92" s="28" t="s">
        <v>14</v>
      </c>
      <c r="BC92" s="5"/>
    </row>
    <row r="93" spans="1:55" s="8" customFormat="1" ht="11.25" hidden="1">
      <c r="A93" s="19" t="s">
        <v>167</v>
      </c>
      <c r="B93" s="9" t="str">
        <f t="shared" si="4"/>
        <v>DOSSZIÉ (MŰANYAG HÁTLAPOS) TOVÁBB FŰZŐS</v>
      </c>
      <c r="C93" s="9" t="str">
        <f>"A/4"</f>
        <v>A/4</v>
      </c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1"/>
      <c r="Y93" s="5"/>
      <c r="Z93" s="5"/>
      <c r="AA93" s="5"/>
      <c r="AB93" s="5"/>
      <c r="AC93" s="5"/>
      <c r="AD93" s="5"/>
      <c r="AE93" s="5"/>
      <c r="AF93" s="5"/>
      <c r="AG93" s="5"/>
      <c r="AH93" s="13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>
        <f t="shared" si="5"/>
        <v>0</v>
      </c>
      <c r="BB93" s="28" t="s">
        <v>14</v>
      </c>
      <c r="BC93" s="5"/>
    </row>
    <row r="94" spans="1:55" s="8" customFormat="1" ht="11.25">
      <c r="A94" s="19" t="s">
        <v>161</v>
      </c>
      <c r="B94" s="9" t="str">
        <f t="shared" si="4"/>
        <v>DOSSZIÉ (MŰANYAG HÁTLAPOS) TOVÁBB FŰZŐS</v>
      </c>
      <c r="C94" s="9" t="s">
        <v>78</v>
      </c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5</v>
      </c>
      <c r="R94" s="5"/>
      <c r="S94" s="5"/>
      <c r="T94" s="5"/>
      <c r="U94" s="5"/>
      <c r="V94" s="5"/>
      <c r="W94" s="5"/>
      <c r="X94" s="11"/>
      <c r="Y94" s="5"/>
      <c r="Z94" s="5"/>
      <c r="AA94" s="5"/>
      <c r="AB94" s="5"/>
      <c r="AC94" s="5"/>
      <c r="AD94" s="5"/>
      <c r="AE94" s="5"/>
      <c r="AF94" s="5"/>
      <c r="AG94" s="5"/>
      <c r="AH94" s="13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>
        <f t="shared" si="5"/>
        <v>5</v>
      </c>
      <c r="BB94" s="28" t="s">
        <v>14</v>
      </c>
      <c r="BC94" s="5"/>
    </row>
    <row r="95" spans="1:55" s="8" customFormat="1" ht="11.25">
      <c r="A95" s="19" t="s">
        <v>162</v>
      </c>
      <c r="B95" s="9" t="str">
        <f>"DOSSZIÉ (PAPÍR) FŰZŐS"</f>
        <v>DOSSZIÉ (PAPÍR) FŰZŐS</v>
      </c>
      <c r="C95" s="9" t="str">
        <f>"A/4"</f>
        <v>A/4</v>
      </c>
      <c r="D95" s="5"/>
      <c r="E95" s="13">
        <v>20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1"/>
      <c r="Y95" s="5"/>
      <c r="Z95" s="5"/>
      <c r="AA95" s="5"/>
      <c r="AB95" s="5"/>
      <c r="AC95" s="5"/>
      <c r="AD95" s="5"/>
      <c r="AE95" s="5"/>
      <c r="AF95" s="5"/>
      <c r="AG95" s="5"/>
      <c r="AH95" s="13"/>
      <c r="AI95" s="5"/>
      <c r="AJ95" s="5"/>
      <c r="AK95" s="5"/>
      <c r="AL95" s="5"/>
      <c r="AM95" s="5"/>
      <c r="AN95" s="5"/>
      <c r="AO95" s="5"/>
      <c r="AP95" s="5"/>
      <c r="AQ95" s="5">
        <v>10</v>
      </c>
      <c r="AR95" s="5"/>
      <c r="AS95" s="5"/>
      <c r="AT95" s="5"/>
      <c r="AU95" s="5"/>
      <c r="AV95" s="5"/>
      <c r="AW95" s="5"/>
      <c r="AX95" s="5"/>
      <c r="AY95" s="5"/>
      <c r="AZ95" s="5"/>
      <c r="BA95" s="5">
        <f t="shared" si="5"/>
        <v>30</v>
      </c>
      <c r="BB95" s="28" t="s">
        <v>14</v>
      </c>
      <c r="BC95" s="5"/>
    </row>
    <row r="96" spans="1:55" s="8" customFormat="1" ht="11.25">
      <c r="A96" s="19" t="s">
        <v>163</v>
      </c>
      <c r="B96" s="9" t="str">
        <f>"DOSSZIÉ (PAPÍR) PÓLYÁS-HAJTOGATÓS"</f>
        <v>DOSSZIÉ (PAPÍR) PÓLYÁS-HAJTOGATÓS</v>
      </c>
      <c r="C96" s="9" t="str">
        <f>"A/4"</f>
        <v>A/4</v>
      </c>
      <c r="D96" s="5"/>
      <c r="E96" s="13">
        <v>20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10</v>
      </c>
      <c r="R96" s="5"/>
      <c r="S96" s="5"/>
      <c r="T96" s="5"/>
      <c r="U96" s="5"/>
      <c r="V96" s="5"/>
      <c r="W96" s="5"/>
      <c r="X96" s="11"/>
      <c r="Y96" s="5"/>
      <c r="Z96" s="5"/>
      <c r="AA96" s="5"/>
      <c r="AB96" s="5"/>
      <c r="AC96" s="5"/>
      <c r="AD96" s="5"/>
      <c r="AE96" s="5"/>
      <c r="AF96" s="5"/>
      <c r="AG96" s="5"/>
      <c r="AH96" s="13"/>
      <c r="AI96" s="5"/>
      <c r="AJ96" s="5"/>
      <c r="AK96" s="5"/>
      <c r="AL96" s="5">
        <v>20</v>
      </c>
      <c r="AM96" s="5">
        <v>20</v>
      </c>
      <c r="AN96" s="5">
        <v>20</v>
      </c>
      <c r="AO96" s="5">
        <v>20</v>
      </c>
      <c r="AP96" s="5"/>
      <c r="AQ96" s="5"/>
      <c r="AR96" s="5"/>
      <c r="AS96" s="5"/>
      <c r="AT96" s="5"/>
      <c r="AU96" s="5"/>
      <c r="AV96" s="5"/>
      <c r="AW96" s="5"/>
      <c r="AX96" s="5"/>
      <c r="AY96" s="5">
        <v>10</v>
      </c>
      <c r="AZ96" s="5"/>
      <c r="BA96" s="5">
        <f t="shared" si="5"/>
        <v>120</v>
      </c>
      <c r="BB96" s="28" t="s">
        <v>14</v>
      </c>
      <c r="BC96" s="5"/>
    </row>
    <row r="97" spans="1:55" s="8" customFormat="1" ht="11.25" hidden="1">
      <c r="A97" s="19" t="s">
        <v>171</v>
      </c>
      <c r="B97" s="9" t="str">
        <f>"GÉMKAPOCS TARTÓ"</f>
        <v>GÉMKAPOCS TARTÓ</v>
      </c>
      <c r="C97" s="9" t="str">
        <f>"MÁGNESES"</f>
        <v>MÁGNESES</v>
      </c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1"/>
      <c r="Y97" s="5"/>
      <c r="Z97" s="5"/>
      <c r="AA97" s="5"/>
      <c r="AB97" s="5"/>
      <c r="AC97" s="5"/>
      <c r="AD97" s="5"/>
      <c r="AE97" s="5"/>
      <c r="AF97" s="5"/>
      <c r="AG97" s="5"/>
      <c r="AH97" s="1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>
        <f t="shared" si="5"/>
        <v>0</v>
      </c>
      <c r="BB97" s="28" t="s">
        <v>14</v>
      </c>
      <c r="BC97" s="5"/>
    </row>
    <row r="98" spans="1:55" s="8" customFormat="1" ht="11.25" hidden="1">
      <c r="A98" s="19" t="s">
        <v>172</v>
      </c>
      <c r="B98" s="9" t="str">
        <f>"GENOTHERMA (FÜLES)"</f>
        <v>GENOTHERMA (FÜLES)</v>
      </c>
      <c r="C98" s="9" t="str">
        <f>"A/4"</f>
        <v>A/4</v>
      </c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"/>
      <c r="Y98" s="5"/>
      <c r="Z98" s="5"/>
      <c r="AA98" s="5"/>
      <c r="AB98" s="5"/>
      <c r="AC98" s="5"/>
      <c r="AD98" s="5"/>
      <c r="AE98" s="5"/>
      <c r="AF98" s="5"/>
      <c r="AG98" s="5"/>
      <c r="AH98" s="1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>
        <f t="shared" si="5"/>
        <v>0</v>
      </c>
      <c r="BB98" s="28" t="s">
        <v>14</v>
      </c>
      <c r="BC98" s="5"/>
    </row>
    <row r="99" spans="1:55" s="9" customFormat="1" ht="11.25" hidden="1">
      <c r="A99" s="19" t="s">
        <v>171</v>
      </c>
      <c r="B99" s="9" t="s">
        <v>80</v>
      </c>
      <c r="C99" s="9" t="str">
        <f>"A/4"</f>
        <v>A/4</v>
      </c>
      <c r="D99" s="4"/>
      <c r="E99" s="1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0"/>
      <c r="Y99" s="4"/>
      <c r="Z99" s="4"/>
      <c r="AA99" s="4"/>
      <c r="AB99" s="4"/>
      <c r="AC99" s="4"/>
      <c r="AD99" s="4"/>
      <c r="AE99" s="4"/>
      <c r="AF99" s="4"/>
      <c r="AG99" s="4"/>
      <c r="AH99" s="13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5">
        <f t="shared" si="5"/>
        <v>0</v>
      </c>
      <c r="BB99" s="27" t="s">
        <v>23</v>
      </c>
      <c r="BC99" s="4"/>
    </row>
    <row r="100" spans="1:55" s="9" customFormat="1" ht="11.25" hidden="1">
      <c r="A100" s="19" t="s">
        <v>172</v>
      </c>
      <c r="B100" s="9" t="s">
        <v>81</v>
      </c>
      <c r="C100" s="9" t="str">
        <f>"A/4"</f>
        <v>A/4</v>
      </c>
      <c r="D100" s="4"/>
      <c r="E100" s="1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0"/>
      <c r="Y100" s="4"/>
      <c r="Z100" s="4"/>
      <c r="AA100" s="4"/>
      <c r="AB100" s="4"/>
      <c r="AC100" s="4"/>
      <c r="AD100" s="4"/>
      <c r="AE100" s="4"/>
      <c r="AF100" s="4"/>
      <c r="AG100" s="4"/>
      <c r="AH100" s="13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5">
        <f t="shared" si="5"/>
        <v>0</v>
      </c>
      <c r="BB100" s="27" t="s">
        <v>23</v>
      </c>
      <c r="BC100" s="4"/>
    </row>
    <row r="101" spans="1:55" s="9" customFormat="1" ht="11.25" hidden="1">
      <c r="A101" s="19" t="s">
        <v>173</v>
      </c>
      <c r="B101" s="9" t="s">
        <v>82</v>
      </c>
      <c r="D101" s="4"/>
      <c r="E101" s="1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0"/>
      <c r="Y101" s="4"/>
      <c r="Z101" s="4"/>
      <c r="AA101" s="4"/>
      <c r="AB101" s="4"/>
      <c r="AC101" s="4"/>
      <c r="AD101" s="4"/>
      <c r="AE101" s="4"/>
      <c r="AF101" s="4"/>
      <c r="AG101" s="4"/>
      <c r="AH101" s="13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5">
        <f t="shared" si="5"/>
        <v>0</v>
      </c>
      <c r="BB101" s="27" t="s">
        <v>23</v>
      </c>
      <c r="BC101" s="4"/>
    </row>
    <row r="102" spans="1:55" s="9" customFormat="1" ht="11.25" hidden="1">
      <c r="A102" s="19" t="s">
        <v>174</v>
      </c>
      <c r="B102" s="9" t="s">
        <v>83</v>
      </c>
      <c r="D102" s="4"/>
      <c r="E102" s="1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0"/>
      <c r="Y102" s="4"/>
      <c r="Z102" s="4"/>
      <c r="AA102" s="4"/>
      <c r="AB102" s="4"/>
      <c r="AC102" s="4"/>
      <c r="AD102" s="4"/>
      <c r="AE102" s="4"/>
      <c r="AF102" s="4"/>
      <c r="AG102" s="4"/>
      <c r="AH102" s="13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5">
        <f t="shared" si="5"/>
        <v>0</v>
      </c>
      <c r="BB102" s="27" t="s">
        <v>23</v>
      </c>
      <c r="BC102" s="4"/>
    </row>
    <row r="103" spans="1:55" s="9" customFormat="1" ht="11.25" hidden="1">
      <c r="A103" s="19" t="s">
        <v>175</v>
      </c>
      <c r="B103" s="9" t="s">
        <v>84</v>
      </c>
      <c r="D103" s="4"/>
      <c r="E103" s="1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0"/>
      <c r="Y103" s="4"/>
      <c r="Z103" s="4"/>
      <c r="AA103" s="4"/>
      <c r="AB103" s="4"/>
      <c r="AC103" s="4"/>
      <c r="AD103" s="4"/>
      <c r="AE103" s="4"/>
      <c r="AF103" s="4"/>
      <c r="AG103" s="4"/>
      <c r="AH103" s="13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5">
        <f t="shared" si="5"/>
        <v>0</v>
      </c>
      <c r="BB103" s="27" t="s">
        <v>23</v>
      </c>
      <c r="BC103" s="4"/>
    </row>
    <row r="104" spans="1:55" s="9" customFormat="1" ht="11.25" hidden="1">
      <c r="A104" s="19" t="s">
        <v>176</v>
      </c>
      <c r="B104" s="9" t="s">
        <v>85</v>
      </c>
      <c r="D104" s="4"/>
      <c r="E104" s="1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0"/>
      <c r="Y104" s="4"/>
      <c r="Z104" s="4"/>
      <c r="AA104" s="4"/>
      <c r="AB104" s="4"/>
      <c r="AC104" s="4"/>
      <c r="AD104" s="4"/>
      <c r="AE104" s="4"/>
      <c r="AF104" s="4"/>
      <c r="AG104" s="4"/>
      <c r="AH104" s="13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5">
        <f t="shared" si="5"/>
        <v>0</v>
      </c>
      <c r="BB104" s="27" t="s">
        <v>23</v>
      </c>
      <c r="BC104" s="4"/>
    </row>
    <row r="105" spans="1:55" s="9" customFormat="1" ht="11.25" hidden="1">
      <c r="A105" s="19" t="s">
        <v>177</v>
      </c>
      <c r="B105" s="9" t="s">
        <v>86</v>
      </c>
      <c r="D105" s="4"/>
      <c r="E105" s="1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0"/>
      <c r="Y105" s="4"/>
      <c r="Z105" s="4"/>
      <c r="AA105" s="4"/>
      <c r="AB105" s="4"/>
      <c r="AC105" s="4"/>
      <c r="AD105" s="4"/>
      <c r="AE105" s="4"/>
      <c r="AF105" s="4"/>
      <c r="AG105" s="4"/>
      <c r="AH105" s="13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5">
        <f t="shared" si="5"/>
        <v>0</v>
      </c>
      <c r="BB105" s="27" t="s">
        <v>23</v>
      </c>
      <c r="BC105" s="4"/>
    </row>
    <row r="106" spans="1:55" s="9" customFormat="1" ht="11.25" hidden="1">
      <c r="A106" s="19" t="s">
        <v>178</v>
      </c>
      <c r="B106" s="9" t="s">
        <v>114</v>
      </c>
      <c r="D106" s="4"/>
      <c r="E106" s="1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0"/>
      <c r="Y106" s="4"/>
      <c r="Z106" s="4"/>
      <c r="AA106" s="4"/>
      <c r="AB106" s="4"/>
      <c r="AC106" s="4"/>
      <c r="AD106" s="4"/>
      <c r="AE106" s="4"/>
      <c r="AF106" s="4"/>
      <c r="AG106" s="4"/>
      <c r="AH106" s="13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5">
        <f t="shared" si="5"/>
        <v>0</v>
      </c>
      <c r="BB106" s="27" t="s">
        <v>23</v>
      </c>
      <c r="BC106" s="4"/>
    </row>
    <row r="107" spans="1:55" s="9" customFormat="1" ht="11.25">
      <c r="A107" s="19" t="s">
        <v>164</v>
      </c>
      <c r="B107" s="9" t="s">
        <v>59</v>
      </c>
      <c r="C107" s="1" t="s">
        <v>117</v>
      </c>
      <c r="D107" s="4"/>
      <c r="E107" s="1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0"/>
      <c r="Y107" s="4"/>
      <c r="Z107" s="4"/>
      <c r="AA107" s="4"/>
      <c r="AB107" s="4"/>
      <c r="AC107" s="4"/>
      <c r="AD107" s="4"/>
      <c r="AE107" s="4"/>
      <c r="AF107" s="4"/>
      <c r="AG107" s="4"/>
      <c r="AH107" s="13"/>
      <c r="AI107" s="4"/>
      <c r="AJ107" s="4"/>
      <c r="AK107" s="4"/>
      <c r="AL107" s="4"/>
      <c r="AM107" s="4"/>
      <c r="AN107" s="4"/>
      <c r="AO107" s="4"/>
      <c r="AP107" s="4">
        <v>1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5">
        <f t="shared" si="5"/>
        <v>1</v>
      </c>
      <c r="BB107" s="27" t="s">
        <v>23</v>
      </c>
      <c r="BC107" s="4"/>
    </row>
    <row r="108" spans="1:55" s="9" customFormat="1" ht="11.25">
      <c r="A108" s="19" t="s">
        <v>165</v>
      </c>
      <c r="B108" s="9" t="s">
        <v>59</v>
      </c>
      <c r="C108" s="1" t="s">
        <v>116</v>
      </c>
      <c r="D108" s="4"/>
      <c r="E108" s="13"/>
      <c r="F108" s="4"/>
      <c r="G108" s="4"/>
      <c r="H108" s="4">
        <v>3</v>
      </c>
      <c r="I108" s="4">
        <v>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0"/>
      <c r="Y108" s="4"/>
      <c r="Z108" s="4"/>
      <c r="AA108" s="4"/>
      <c r="AB108" s="4"/>
      <c r="AC108" s="4"/>
      <c r="AD108" s="4"/>
      <c r="AE108" s="4"/>
      <c r="AF108" s="4"/>
      <c r="AG108" s="4"/>
      <c r="AH108" s="13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5">
        <f t="shared" si="5"/>
        <v>6</v>
      </c>
      <c r="BB108" s="27" t="s">
        <v>23</v>
      </c>
      <c r="BC108" s="4"/>
    </row>
    <row r="109" spans="1:55" s="9" customFormat="1" ht="11.25">
      <c r="A109" s="19" t="s">
        <v>166</v>
      </c>
      <c r="B109" s="9" t="s">
        <v>59</v>
      </c>
      <c r="C109" s="9" t="str">
        <f>"105X058 MM"</f>
        <v>105X058 MM</v>
      </c>
      <c r="D109" s="4"/>
      <c r="E109" s="1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0"/>
      <c r="Y109" s="4"/>
      <c r="Z109" s="4"/>
      <c r="AA109" s="4"/>
      <c r="AB109" s="4"/>
      <c r="AC109" s="4"/>
      <c r="AD109" s="4"/>
      <c r="AE109" s="4"/>
      <c r="AF109" s="4"/>
      <c r="AG109" s="4"/>
      <c r="AH109" s="13"/>
      <c r="AI109" s="4"/>
      <c r="AJ109" s="4"/>
      <c r="AK109" s="4"/>
      <c r="AL109" s="4">
        <v>25</v>
      </c>
      <c r="AM109" s="4">
        <v>25</v>
      </c>
      <c r="AN109" s="4">
        <v>25</v>
      </c>
      <c r="AO109" s="4">
        <v>25</v>
      </c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5">
        <f t="shared" si="5"/>
        <v>100</v>
      </c>
      <c r="BB109" s="27" t="s">
        <v>23</v>
      </c>
      <c r="BC109" s="4"/>
    </row>
    <row r="110" spans="1:55" s="9" customFormat="1" ht="11.25" hidden="1">
      <c r="A110" s="19" t="s">
        <v>183</v>
      </c>
      <c r="B110" s="9" t="str">
        <f>"GOLYÓSTOLL (ÜGYFELES)"</f>
        <v>GOLYÓSTOLL (ÜGYFELES)</v>
      </c>
      <c r="D110" s="4"/>
      <c r="E110" s="1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0"/>
      <c r="Y110" s="4"/>
      <c r="Z110" s="4"/>
      <c r="AA110" s="4"/>
      <c r="AB110" s="4"/>
      <c r="AC110" s="4"/>
      <c r="AD110" s="4"/>
      <c r="AE110" s="4"/>
      <c r="AF110" s="4"/>
      <c r="AG110" s="4"/>
      <c r="AH110" s="13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5">
        <f t="shared" si="5"/>
        <v>0</v>
      </c>
      <c r="BB110" s="28" t="s">
        <v>14</v>
      </c>
      <c r="BC110" s="4"/>
    </row>
    <row r="111" spans="1:55" s="9" customFormat="1" ht="11.25">
      <c r="A111" s="19" t="s">
        <v>167</v>
      </c>
      <c r="B111" s="9" t="s">
        <v>16</v>
      </c>
      <c r="C111" s="9" t="str">
        <f>"A/4 (80 GRAMM)"</f>
        <v>A/4 (80 GRAMM)</v>
      </c>
      <c r="D111" s="5">
        <v>8</v>
      </c>
      <c r="E111" s="13"/>
      <c r="F111" s="5"/>
      <c r="G111" s="5">
        <v>25</v>
      </c>
      <c r="H111" s="5">
        <v>25</v>
      </c>
      <c r="I111" s="5">
        <v>50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4">
        <v>5</v>
      </c>
      <c r="W111" s="5">
        <v>1</v>
      </c>
      <c r="X111" s="11"/>
      <c r="Y111" s="5"/>
      <c r="Z111" s="5"/>
      <c r="AA111" s="5"/>
      <c r="AB111" s="5"/>
      <c r="AC111" s="5"/>
      <c r="AD111" s="5"/>
      <c r="AE111" s="5"/>
      <c r="AF111" s="5"/>
      <c r="AG111" s="5"/>
      <c r="AH111" s="13"/>
      <c r="AI111" s="5"/>
      <c r="AJ111" s="5"/>
      <c r="AK111" s="5"/>
      <c r="AL111" s="5">
        <v>25</v>
      </c>
      <c r="AM111" s="5">
        <v>25</v>
      </c>
      <c r="AN111" s="5">
        <v>25</v>
      </c>
      <c r="AO111" s="5">
        <v>25</v>
      </c>
      <c r="AP111" s="5">
        <v>1</v>
      </c>
      <c r="AQ111" s="5">
        <v>10</v>
      </c>
      <c r="AR111" s="5">
        <v>10</v>
      </c>
      <c r="AS111" s="5"/>
      <c r="AT111" s="5"/>
      <c r="AU111" s="5"/>
      <c r="AV111" s="5"/>
      <c r="AW111" s="5"/>
      <c r="AX111" s="5"/>
      <c r="AY111" s="5">
        <v>20</v>
      </c>
      <c r="AZ111" s="5">
        <v>75</v>
      </c>
      <c r="BA111" s="5">
        <f t="shared" si="5"/>
        <v>330</v>
      </c>
      <c r="BB111" s="28" t="s">
        <v>15</v>
      </c>
      <c r="BC111" s="4"/>
    </row>
    <row r="112" spans="1:55" s="9" customFormat="1" ht="11.25" hidden="1">
      <c r="A112" s="19" t="s">
        <v>185</v>
      </c>
      <c r="B112" s="9" t="str">
        <f>"GOLYÓSTOLL (ZEBRA N5200)"</f>
        <v>GOLYÓSTOLL (ZEBRA N5200)</v>
      </c>
      <c r="D112" s="4"/>
      <c r="E112" s="1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0"/>
      <c r="Y112" s="4"/>
      <c r="Z112" s="4"/>
      <c r="AA112" s="4"/>
      <c r="AB112" s="4"/>
      <c r="AC112" s="4"/>
      <c r="AD112" s="4"/>
      <c r="AE112" s="4"/>
      <c r="AF112" s="4"/>
      <c r="AG112" s="4"/>
      <c r="AH112" s="13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5">
        <f t="shared" si="5"/>
        <v>0</v>
      </c>
      <c r="BB112" s="28" t="s">
        <v>15</v>
      </c>
      <c r="BC112" s="4"/>
    </row>
    <row r="113" spans="1:55" s="9" customFormat="1" ht="11.25" hidden="1">
      <c r="A113" s="19" t="s">
        <v>186</v>
      </c>
      <c r="B113" s="9" t="str">
        <f>"GOLYÓSTOLL (ZEBRA RUBBER 101)"</f>
        <v>GOLYÓSTOLL (ZEBRA RUBBER 101)</v>
      </c>
      <c r="D113" s="4"/>
      <c r="E113" s="1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0"/>
      <c r="Y113" s="4"/>
      <c r="Z113" s="4"/>
      <c r="AA113" s="4"/>
      <c r="AB113" s="4"/>
      <c r="AC113" s="4"/>
      <c r="AD113" s="4"/>
      <c r="AE113" s="4"/>
      <c r="AF113" s="4"/>
      <c r="AG113" s="4"/>
      <c r="AH113" s="1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5">
        <f t="shared" si="5"/>
        <v>0</v>
      </c>
      <c r="BB113" s="28" t="s">
        <v>15</v>
      </c>
      <c r="BC113" s="4"/>
    </row>
    <row r="114" spans="1:55" s="9" customFormat="1" ht="11.25">
      <c r="A114" s="19" t="s">
        <v>168</v>
      </c>
      <c r="B114" s="9" t="s">
        <v>16</v>
      </c>
      <c r="C114" s="9" t="s">
        <v>115</v>
      </c>
      <c r="D114" s="4"/>
      <c r="E114" s="13"/>
      <c r="F114" s="4"/>
      <c r="G114" s="4">
        <v>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0"/>
      <c r="Y114" s="4"/>
      <c r="Z114" s="4"/>
      <c r="AA114" s="4"/>
      <c r="AB114" s="4"/>
      <c r="AC114" s="4"/>
      <c r="AD114" s="4"/>
      <c r="AE114" s="4"/>
      <c r="AF114" s="4"/>
      <c r="AG114" s="4"/>
      <c r="AH114" s="13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5">
        <f t="shared" si="5"/>
        <v>1</v>
      </c>
      <c r="BB114" s="28" t="s">
        <v>15</v>
      </c>
      <c r="BC114" s="4"/>
    </row>
    <row r="115" spans="1:55" s="8" customFormat="1" ht="11.25">
      <c r="A115" s="19" t="s">
        <v>169</v>
      </c>
      <c r="B115" s="9" t="s">
        <v>64</v>
      </c>
      <c r="C115" s="9" t="s">
        <v>21</v>
      </c>
      <c r="D115" s="4">
        <v>2</v>
      </c>
      <c r="E115" s="13"/>
      <c r="F115" s="4"/>
      <c r="G115" s="4"/>
      <c r="H115" s="4"/>
      <c r="I115" s="4">
        <v>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0"/>
      <c r="Y115" s="4"/>
      <c r="Z115" s="4"/>
      <c r="AA115" s="4"/>
      <c r="AB115" s="4"/>
      <c r="AC115" s="4"/>
      <c r="AD115" s="4"/>
      <c r="AE115" s="4"/>
      <c r="AF115" s="4"/>
      <c r="AG115" s="4"/>
      <c r="AH115" s="13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5">
        <f t="shared" si="5"/>
        <v>3</v>
      </c>
      <c r="BB115" s="28" t="s">
        <v>14</v>
      </c>
      <c r="BC115" s="5"/>
    </row>
    <row r="116" spans="1:55" s="9" customFormat="1" ht="11.25" hidden="1">
      <c r="A116" s="19" t="s">
        <v>189</v>
      </c>
      <c r="B116" s="9" t="str">
        <f aca="true" t="shared" si="6" ref="B116:B121">"GOLYÓSTOLL BETÉT"</f>
        <v>GOLYÓSTOLL BETÉT</v>
      </c>
      <c r="C116" s="9" t="str">
        <f>"4 SZÍNŰ (MINI)"</f>
        <v>4 SZÍNŰ (MINI)</v>
      </c>
      <c r="D116" s="4"/>
      <c r="E116" s="1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0"/>
      <c r="Y116" s="4"/>
      <c r="Z116" s="4"/>
      <c r="AA116" s="4"/>
      <c r="AB116" s="4"/>
      <c r="AC116" s="4"/>
      <c r="AD116" s="4"/>
      <c r="AE116" s="4"/>
      <c r="AF116" s="4"/>
      <c r="AG116" s="4"/>
      <c r="AH116" s="13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5">
        <f t="shared" si="5"/>
        <v>0</v>
      </c>
      <c r="BB116" s="28" t="s">
        <v>14</v>
      </c>
      <c r="BC116" s="4"/>
    </row>
    <row r="117" spans="1:55" s="9" customFormat="1" ht="11.25" hidden="1">
      <c r="A117" s="19" t="s">
        <v>190</v>
      </c>
      <c r="B117" s="9" t="str">
        <f t="shared" si="6"/>
        <v>GOLYÓSTOLL BETÉT</v>
      </c>
      <c r="C117" s="9" t="str">
        <f>"HANDY"</f>
        <v>HANDY</v>
      </c>
      <c r="D117" s="4"/>
      <c r="E117" s="1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0"/>
      <c r="Y117" s="4"/>
      <c r="Z117" s="4"/>
      <c r="AA117" s="4"/>
      <c r="AB117" s="4"/>
      <c r="AC117" s="4"/>
      <c r="AD117" s="4"/>
      <c r="AE117" s="4"/>
      <c r="AF117" s="4"/>
      <c r="AG117" s="4"/>
      <c r="AH117" s="13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5">
        <f t="shared" si="5"/>
        <v>0</v>
      </c>
      <c r="BB117" s="28" t="s">
        <v>14</v>
      </c>
      <c r="BC117" s="4"/>
    </row>
    <row r="118" spans="1:55" s="9" customFormat="1" ht="11.25" hidden="1">
      <c r="A118" s="19" t="s">
        <v>191</v>
      </c>
      <c r="B118" s="9" t="str">
        <f t="shared" si="6"/>
        <v>GOLYÓSTOLL BETÉT</v>
      </c>
      <c r="C118" s="9" t="str">
        <f>"PARKER"</f>
        <v>PARKER</v>
      </c>
      <c r="D118" s="4"/>
      <c r="E118" s="1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0"/>
      <c r="Y118" s="4"/>
      <c r="Z118" s="4"/>
      <c r="AA118" s="4"/>
      <c r="AB118" s="4"/>
      <c r="AC118" s="4"/>
      <c r="AD118" s="4"/>
      <c r="AE118" s="4"/>
      <c r="AF118" s="4"/>
      <c r="AG118" s="4"/>
      <c r="AH118" s="13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5">
        <f t="shared" si="5"/>
        <v>0</v>
      </c>
      <c r="BB118" s="28" t="s">
        <v>14</v>
      </c>
      <c r="BC118" s="4"/>
    </row>
    <row r="119" spans="1:55" s="9" customFormat="1" ht="11.25" hidden="1">
      <c r="A119" s="19" t="s">
        <v>192</v>
      </c>
      <c r="B119" s="9" t="str">
        <f t="shared" si="6"/>
        <v>GOLYÓSTOLL BETÉT</v>
      </c>
      <c r="C119" s="9" t="str">
        <f>"PAX"</f>
        <v>PAX</v>
      </c>
      <c r="D119" s="4"/>
      <c r="E119" s="1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0"/>
      <c r="Y119" s="4"/>
      <c r="Z119" s="4"/>
      <c r="AA119" s="4"/>
      <c r="AB119" s="4"/>
      <c r="AC119" s="4"/>
      <c r="AD119" s="4"/>
      <c r="AE119" s="4"/>
      <c r="AF119" s="4"/>
      <c r="AG119" s="4"/>
      <c r="AH119" s="13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5">
        <f t="shared" si="5"/>
        <v>0</v>
      </c>
      <c r="BB119" s="28" t="s">
        <v>14</v>
      </c>
      <c r="BC119" s="4"/>
    </row>
    <row r="120" spans="1:55" s="9" customFormat="1" ht="11.25" hidden="1">
      <c r="A120" s="19" t="s">
        <v>193</v>
      </c>
      <c r="B120" s="9" t="str">
        <f t="shared" si="6"/>
        <v>GOLYÓSTOLL BETÉT</v>
      </c>
      <c r="C120" s="9" t="str">
        <f>"PENAC (RB 98C 07)"</f>
        <v>PENAC (RB 98C 07)</v>
      </c>
      <c r="D120" s="4"/>
      <c r="E120" s="1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0"/>
      <c r="Y120" s="4"/>
      <c r="Z120" s="4"/>
      <c r="AA120" s="4"/>
      <c r="AB120" s="4"/>
      <c r="AC120" s="4"/>
      <c r="AD120" s="4"/>
      <c r="AE120" s="4"/>
      <c r="AF120" s="4"/>
      <c r="AG120" s="4"/>
      <c r="AH120" s="13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5">
        <f t="shared" si="5"/>
        <v>0</v>
      </c>
      <c r="BB120" s="28" t="s">
        <v>14</v>
      </c>
      <c r="BC120" s="4"/>
    </row>
    <row r="121" spans="1:55" s="9" customFormat="1" ht="11.25" hidden="1">
      <c r="A121" s="19" t="s">
        <v>194</v>
      </c>
      <c r="B121" s="9" t="str">
        <f t="shared" si="6"/>
        <v>GOLYÓSTOLL BETÉT</v>
      </c>
      <c r="C121" s="9" t="str">
        <f>"PILOT"</f>
        <v>PILOT</v>
      </c>
      <c r="D121" s="4"/>
      <c r="E121" s="1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0"/>
      <c r="Y121" s="4"/>
      <c r="Z121" s="4"/>
      <c r="AA121" s="4"/>
      <c r="AB121" s="4"/>
      <c r="AC121" s="4"/>
      <c r="AD121" s="4"/>
      <c r="AE121" s="4"/>
      <c r="AF121" s="4"/>
      <c r="AG121" s="4"/>
      <c r="AH121" s="13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5">
        <f t="shared" si="5"/>
        <v>0</v>
      </c>
      <c r="BB121" s="28" t="s">
        <v>14</v>
      </c>
      <c r="BC121" s="4"/>
    </row>
    <row r="122" spans="1:55" s="8" customFormat="1" ht="11.25">
      <c r="A122" s="19" t="s">
        <v>170</v>
      </c>
      <c r="B122" s="9" t="s">
        <v>70</v>
      </c>
      <c r="C122" s="9" t="s">
        <v>21</v>
      </c>
      <c r="D122" s="4">
        <v>5</v>
      </c>
      <c r="E122" s="1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0"/>
      <c r="Y122" s="4"/>
      <c r="Z122" s="4"/>
      <c r="AA122" s="4"/>
      <c r="AB122" s="4"/>
      <c r="AC122" s="4"/>
      <c r="AD122" s="4"/>
      <c r="AE122" s="4"/>
      <c r="AF122" s="4"/>
      <c r="AG122" s="4"/>
      <c r="AH122" s="13"/>
      <c r="AI122" s="4"/>
      <c r="AJ122" s="4"/>
      <c r="AK122" s="4"/>
      <c r="AL122" s="4"/>
      <c r="AM122" s="4"/>
      <c r="AN122" s="4">
        <v>3</v>
      </c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5">
        <f t="shared" si="5"/>
        <v>8</v>
      </c>
      <c r="BB122" s="28" t="s">
        <v>14</v>
      </c>
      <c r="BC122" s="5"/>
    </row>
    <row r="123" spans="1:57" s="9" customFormat="1" ht="11.25" hidden="1">
      <c r="A123" s="19" t="s">
        <v>196</v>
      </c>
      <c r="B123" s="9" t="str">
        <f>"GOLYÓSTOLL BETÉT"</f>
        <v>GOLYÓSTOLL BETÉT</v>
      </c>
      <c r="C123" s="9" t="str">
        <f>"RÉZ"</f>
        <v>RÉZ</v>
      </c>
      <c r="D123" s="4"/>
      <c r="E123" s="1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0"/>
      <c r="Y123" s="4"/>
      <c r="Z123" s="4"/>
      <c r="AA123" s="4"/>
      <c r="AB123" s="4"/>
      <c r="AC123" s="4"/>
      <c r="AD123" s="4"/>
      <c r="AE123" s="4"/>
      <c r="AF123" s="4"/>
      <c r="AG123" s="4"/>
      <c r="AH123" s="13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5">
        <f t="shared" si="5"/>
        <v>0</v>
      </c>
      <c r="BB123" s="28" t="s">
        <v>14</v>
      </c>
      <c r="BC123" s="4"/>
      <c r="BE123" s="8"/>
    </row>
    <row r="124" spans="1:57" s="8" customFormat="1" ht="11.25" hidden="1">
      <c r="A124" s="19" t="s">
        <v>197</v>
      </c>
      <c r="B124" s="9" t="str">
        <f>"GOLYÓSTOLL BETÉT"</f>
        <v>GOLYÓSTOLL BETÉT</v>
      </c>
      <c r="C124" s="9" t="str">
        <f>"X-20"</f>
        <v>X-20</v>
      </c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1"/>
      <c r="Y124" s="5"/>
      <c r="Z124" s="5"/>
      <c r="AA124" s="5"/>
      <c r="AB124" s="5"/>
      <c r="AC124" s="5"/>
      <c r="AD124" s="5"/>
      <c r="AE124" s="5"/>
      <c r="AF124" s="5"/>
      <c r="AG124" s="5"/>
      <c r="AH124" s="13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>
        <f t="shared" si="5"/>
        <v>0</v>
      </c>
      <c r="BB124" s="28" t="s">
        <v>14</v>
      </c>
      <c r="BC124" s="5"/>
      <c r="BE124" s="9"/>
    </row>
    <row r="125" spans="1:55" s="8" customFormat="1" ht="11.25">
      <c r="A125" s="19" t="s">
        <v>171</v>
      </c>
      <c r="B125" s="9" t="str">
        <f>"FÜZET (KOCKÁS)"</f>
        <v>FÜZET (KOCKÁS)</v>
      </c>
      <c r="C125" s="9" t="str">
        <f>"A/4"</f>
        <v>A/4</v>
      </c>
      <c r="D125" s="5">
        <v>5</v>
      </c>
      <c r="E125" s="13"/>
      <c r="F125" s="5"/>
      <c r="G125" s="5">
        <v>5</v>
      </c>
      <c r="H125" s="5"/>
      <c r="I125" s="5"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1"/>
      <c r="Y125" s="5"/>
      <c r="Z125" s="5"/>
      <c r="AA125" s="5"/>
      <c r="AB125" s="5"/>
      <c r="AC125" s="5"/>
      <c r="AD125" s="5"/>
      <c r="AE125" s="5"/>
      <c r="AF125" s="5"/>
      <c r="AG125" s="5"/>
      <c r="AH125" s="13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>
        <f t="shared" si="5"/>
        <v>11</v>
      </c>
      <c r="BB125" s="28" t="s">
        <v>14</v>
      </c>
      <c r="BC125" s="5"/>
    </row>
    <row r="126" spans="1:55" s="9" customFormat="1" ht="11.25" hidden="1">
      <c r="A126" s="19" t="s">
        <v>180</v>
      </c>
      <c r="B126" s="9" t="str">
        <f>"GOLYÓSTOLL BETÉT (ZSELÉS)"</f>
        <v>GOLYÓSTOLL BETÉT (ZSELÉS)</v>
      </c>
      <c r="C126" s="9" t="str">
        <f>"PARKER"</f>
        <v>PARKER</v>
      </c>
      <c r="D126" s="4"/>
      <c r="E126" s="1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0"/>
      <c r="Y126" s="4"/>
      <c r="Z126" s="4"/>
      <c r="AA126" s="4"/>
      <c r="AB126" s="4"/>
      <c r="AC126" s="4"/>
      <c r="AD126" s="4"/>
      <c r="AE126" s="4"/>
      <c r="AF126" s="4"/>
      <c r="AG126" s="4"/>
      <c r="AH126" s="13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5">
        <f t="shared" si="5"/>
        <v>0</v>
      </c>
      <c r="BB126" s="28" t="s">
        <v>14</v>
      </c>
      <c r="BC126" s="4"/>
    </row>
    <row r="127" spans="1:55" s="9" customFormat="1" ht="11.25" hidden="1">
      <c r="A127" s="19" t="s">
        <v>181</v>
      </c>
      <c r="B127" s="9" t="str">
        <f>"GYORS MASNI"</f>
        <v>GYORS MASNI</v>
      </c>
      <c r="D127" s="4"/>
      <c r="E127" s="1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0"/>
      <c r="Y127" s="4"/>
      <c r="Z127" s="4"/>
      <c r="AA127" s="4"/>
      <c r="AB127" s="4"/>
      <c r="AC127" s="4"/>
      <c r="AD127" s="4"/>
      <c r="AE127" s="4"/>
      <c r="AF127" s="4"/>
      <c r="AG127" s="4"/>
      <c r="AH127" s="13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5">
        <f t="shared" si="5"/>
        <v>0</v>
      </c>
      <c r="BB127" s="28" t="s">
        <v>14</v>
      </c>
      <c r="BC127" s="4"/>
    </row>
    <row r="128" spans="1:55" s="9" customFormat="1" ht="11.25">
      <c r="A128" s="19" t="s">
        <v>172</v>
      </c>
      <c r="B128" s="9" t="s">
        <v>261</v>
      </c>
      <c r="C128" s="9" t="str">
        <f>"A/4"</f>
        <v>A/4</v>
      </c>
      <c r="D128" s="4">
        <v>5</v>
      </c>
      <c r="E128" s="1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0"/>
      <c r="Y128" s="4"/>
      <c r="Z128" s="4"/>
      <c r="AA128" s="4"/>
      <c r="AB128" s="4"/>
      <c r="AC128" s="4"/>
      <c r="AD128" s="4"/>
      <c r="AE128" s="4"/>
      <c r="AF128" s="4"/>
      <c r="AG128" s="4"/>
      <c r="AH128" s="13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5">
        <f t="shared" si="5"/>
        <v>5</v>
      </c>
      <c r="BB128" s="28" t="s">
        <v>14</v>
      </c>
      <c r="BC128" s="4"/>
    </row>
    <row r="129" spans="1:55" s="9" customFormat="1" ht="11.25">
      <c r="A129" s="19" t="s">
        <v>173</v>
      </c>
      <c r="B129" s="9" t="s">
        <v>22</v>
      </c>
      <c r="C129" s="9" t="str">
        <f>"A/4"</f>
        <v>A/4</v>
      </c>
      <c r="D129" s="5">
        <v>5</v>
      </c>
      <c r="E129" s="13"/>
      <c r="F129" s="5"/>
      <c r="G129" s="5">
        <v>10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1"/>
      <c r="Y129" s="5"/>
      <c r="Z129" s="5"/>
      <c r="AA129" s="5"/>
      <c r="AB129" s="5"/>
      <c r="AC129" s="5"/>
      <c r="AD129" s="5"/>
      <c r="AE129" s="5"/>
      <c r="AF129" s="5"/>
      <c r="AG129" s="5"/>
      <c r="AH129" s="13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>
        <f t="shared" si="5"/>
        <v>15</v>
      </c>
      <c r="BB129" s="28" t="s">
        <v>14</v>
      </c>
      <c r="BC129" s="4"/>
    </row>
    <row r="130" spans="1:57" s="9" customFormat="1" ht="11.25" hidden="1">
      <c r="A130" s="19" t="s">
        <v>185</v>
      </c>
      <c r="B130" s="9" t="str">
        <f>"GYURMA"</f>
        <v>GYURMA</v>
      </c>
      <c r="D130" s="4"/>
      <c r="E130" s="1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0"/>
      <c r="Y130" s="4"/>
      <c r="Z130" s="4"/>
      <c r="AA130" s="4"/>
      <c r="AB130" s="4"/>
      <c r="AC130" s="4"/>
      <c r="AD130" s="4"/>
      <c r="AE130" s="4"/>
      <c r="AF130" s="4"/>
      <c r="AG130" s="4"/>
      <c r="AH130" s="13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5">
        <f t="shared" si="5"/>
        <v>0</v>
      </c>
      <c r="BB130" s="28" t="s">
        <v>14</v>
      </c>
      <c r="BC130" s="4"/>
      <c r="BE130" s="8"/>
    </row>
    <row r="131" spans="1:57" s="8" customFormat="1" ht="11.25" hidden="1">
      <c r="A131" s="19" t="s">
        <v>186</v>
      </c>
      <c r="B131" s="9" t="str">
        <f>"GYŰRŰSKÖNYV"</f>
        <v>GYŰRŰSKÖNYV</v>
      </c>
      <c r="C131" s="9" t="str">
        <f>"A/5"</f>
        <v>A/5</v>
      </c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1"/>
      <c r="Y131" s="5"/>
      <c r="Z131" s="5"/>
      <c r="AA131" s="5"/>
      <c r="AB131" s="5"/>
      <c r="AC131" s="5"/>
      <c r="AD131" s="5"/>
      <c r="AE131" s="5"/>
      <c r="AF131" s="5"/>
      <c r="AG131" s="5"/>
      <c r="AH131" s="13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>
        <f t="shared" si="5"/>
        <v>0</v>
      </c>
      <c r="BB131" s="28" t="s">
        <v>14</v>
      </c>
      <c r="BC131" s="5"/>
      <c r="BE131" s="9"/>
    </row>
    <row r="132" spans="1:55" s="9" customFormat="1" ht="11.25" hidden="1">
      <c r="A132" s="19" t="s">
        <v>187</v>
      </c>
      <c r="B132" s="9" t="str">
        <f>"HATÁRIDŐNAPLÓ A/5"</f>
        <v>HATÁRIDŐNAPLÓ A/5</v>
      </c>
      <c r="C132" s="9" t="str">
        <f>"3101"</f>
        <v>3101</v>
      </c>
      <c r="D132" s="4"/>
      <c r="E132" s="1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10"/>
      <c r="Y132" s="4"/>
      <c r="Z132" s="4"/>
      <c r="AA132" s="4"/>
      <c r="AB132" s="4"/>
      <c r="AC132" s="4"/>
      <c r="AD132" s="4"/>
      <c r="AE132" s="4"/>
      <c r="AF132" s="4"/>
      <c r="AG132" s="4"/>
      <c r="AH132" s="13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5">
        <f t="shared" si="5"/>
        <v>0</v>
      </c>
      <c r="BB132" s="28" t="s">
        <v>14</v>
      </c>
      <c r="BC132" s="4"/>
    </row>
    <row r="133" spans="1:55" s="9" customFormat="1" ht="11.25" hidden="1">
      <c r="A133" s="19" t="s">
        <v>188</v>
      </c>
      <c r="B133" s="9" t="str">
        <f>"HATÁROZATOK KÖNYVE"</f>
        <v>HATÁROZATOK KÖNYVE</v>
      </c>
      <c r="D133" s="4"/>
      <c r="E133" s="1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0"/>
      <c r="Y133" s="4"/>
      <c r="Z133" s="4"/>
      <c r="AA133" s="4"/>
      <c r="AB133" s="4"/>
      <c r="AC133" s="4"/>
      <c r="AD133" s="4"/>
      <c r="AE133" s="4"/>
      <c r="AF133" s="4"/>
      <c r="AG133" s="4"/>
      <c r="AH133" s="13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5">
        <f t="shared" si="5"/>
        <v>0</v>
      </c>
      <c r="BB133" s="28" t="s">
        <v>14</v>
      </c>
      <c r="BC133" s="4"/>
    </row>
    <row r="134" spans="1:55" s="9" customFormat="1" ht="11.25" hidden="1">
      <c r="A134" s="19" t="s">
        <v>189</v>
      </c>
      <c r="B134" s="9" t="str">
        <f>"HÁTLAP (BŐRHATÁSÚ)"</f>
        <v>HÁTLAP (BŐRHATÁSÚ)</v>
      </c>
      <c r="C134" s="9" t="s">
        <v>30</v>
      </c>
      <c r="D134" s="4"/>
      <c r="E134" s="1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0"/>
      <c r="Y134" s="4"/>
      <c r="Z134" s="4"/>
      <c r="AA134" s="4"/>
      <c r="AB134" s="4"/>
      <c r="AC134" s="4"/>
      <c r="AD134" s="4"/>
      <c r="AE134" s="4"/>
      <c r="AF134" s="4"/>
      <c r="AG134" s="4"/>
      <c r="AH134" s="13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5">
        <f t="shared" si="5"/>
        <v>0</v>
      </c>
      <c r="BB134" s="28" t="s">
        <v>14</v>
      </c>
      <c r="BC134" s="4"/>
    </row>
    <row r="135" spans="1:55" s="9" customFormat="1" ht="11.25" hidden="1">
      <c r="A135" s="19" t="s">
        <v>190</v>
      </c>
      <c r="B135" s="9" t="str">
        <f>"HIBAJAVÍTÓ FESTÉK (ECSETES)"</f>
        <v>HIBAJAVÍTÓ FESTÉK (ECSETES)</v>
      </c>
      <c r="C135" s="9" t="str">
        <f>"KORES"</f>
        <v>KORES</v>
      </c>
      <c r="D135" s="4"/>
      <c r="E135" s="1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0"/>
      <c r="Y135" s="4"/>
      <c r="Z135" s="4"/>
      <c r="AA135" s="4"/>
      <c r="AB135" s="4"/>
      <c r="AC135" s="4"/>
      <c r="AD135" s="4"/>
      <c r="AE135" s="4"/>
      <c r="AF135" s="4"/>
      <c r="AG135" s="4"/>
      <c r="AH135" s="13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5">
        <f t="shared" si="5"/>
        <v>0</v>
      </c>
      <c r="BB135" s="28" t="s">
        <v>14</v>
      </c>
      <c r="BC135" s="4"/>
    </row>
    <row r="136" spans="1:55" s="9" customFormat="1" ht="11.25" hidden="1">
      <c r="A136" s="19" t="s">
        <v>191</v>
      </c>
      <c r="B136" s="9" t="str">
        <f>"HIBAJAVÍTÓ FESTÉKHÍGÍTÓ"</f>
        <v>HIBAJAVÍTÓ FESTÉKHÍGÍTÓ</v>
      </c>
      <c r="D136" s="4"/>
      <c r="E136" s="1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0"/>
      <c r="Y136" s="4"/>
      <c r="Z136" s="4"/>
      <c r="AA136" s="4"/>
      <c r="AB136" s="4"/>
      <c r="AC136" s="4"/>
      <c r="AD136" s="4"/>
      <c r="AE136" s="4"/>
      <c r="AF136" s="4"/>
      <c r="AG136" s="4"/>
      <c r="AH136" s="13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5">
        <f t="shared" si="5"/>
        <v>0</v>
      </c>
      <c r="BB136" s="28" t="s">
        <v>14</v>
      </c>
      <c r="BC136" s="4"/>
    </row>
    <row r="137" spans="1:55" s="8" customFormat="1" ht="11.25">
      <c r="A137" s="19" t="s">
        <v>174</v>
      </c>
      <c r="B137" s="9" t="str">
        <f>"GÉMKAPOCS (NAGY)"</f>
        <v>GÉMKAPOCS (NAGY)</v>
      </c>
      <c r="C137" s="9" t="str">
        <f>"55MM"</f>
        <v>55MM</v>
      </c>
      <c r="D137" s="5">
        <v>2</v>
      </c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1"/>
      <c r="Y137" s="5"/>
      <c r="Z137" s="5"/>
      <c r="AA137" s="5"/>
      <c r="AB137" s="5"/>
      <c r="AC137" s="5"/>
      <c r="AD137" s="5"/>
      <c r="AE137" s="5"/>
      <c r="AF137" s="5"/>
      <c r="AG137" s="5"/>
      <c r="AH137" s="13"/>
      <c r="AI137" s="5"/>
      <c r="AJ137" s="5"/>
      <c r="AK137" s="5"/>
      <c r="AL137" s="5"/>
      <c r="AM137" s="5"/>
      <c r="AN137" s="5"/>
      <c r="AO137" s="5"/>
      <c r="AP137" s="5">
        <v>1</v>
      </c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>
        <f t="shared" si="5"/>
        <v>3</v>
      </c>
      <c r="BB137" s="28" t="s">
        <v>19</v>
      </c>
      <c r="BC137" s="5"/>
    </row>
    <row r="138" spans="1:55" s="8" customFormat="1" ht="11.25">
      <c r="A138" s="19" t="s">
        <v>175</v>
      </c>
      <c r="B138" s="9" t="str">
        <f>"GÉMKAPOCS (NORMÁL)"</f>
        <v>GÉMKAPOCS (NORMÁL)</v>
      </c>
      <c r="C138" s="9" t="str">
        <f>"33MM"</f>
        <v>33MM</v>
      </c>
      <c r="D138" s="5">
        <v>3</v>
      </c>
      <c r="E138" s="13"/>
      <c r="F138" s="5"/>
      <c r="G138" s="5"/>
      <c r="H138" s="5">
        <v>2</v>
      </c>
      <c r="I138" s="5">
        <v>4</v>
      </c>
      <c r="J138" s="5"/>
      <c r="K138" s="5"/>
      <c r="L138" s="5"/>
      <c r="M138" s="5"/>
      <c r="N138" s="5">
        <v>2</v>
      </c>
      <c r="O138" s="5"/>
      <c r="P138" s="5"/>
      <c r="Q138" s="5"/>
      <c r="R138" s="5"/>
      <c r="S138" s="5"/>
      <c r="T138" s="5"/>
      <c r="U138" s="5"/>
      <c r="V138" s="5"/>
      <c r="W138" s="5"/>
      <c r="X138" s="11"/>
      <c r="Y138" s="5"/>
      <c r="Z138" s="5"/>
      <c r="AA138" s="5"/>
      <c r="AB138" s="5"/>
      <c r="AC138" s="5"/>
      <c r="AD138" s="5"/>
      <c r="AE138" s="5"/>
      <c r="AF138" s="5"/>
      <c r="AG138" s="5"/>
      <c r="AH138" s="13"/>
      <c r="AI138" s="5"/>
      <c r="AJ138" s="5"/>
      <c r="AK138" s="5"/>
      <c r="AL138" s="5"/>
      <c r="AM138" s="5"/>
      <c r="AN138" s="5"/>
      <c r="AO138" s="5"/>
      <c r="AP138" s="5">
        <v>1</v>
      </c>
      <c r="AQ138" s="5"/>
      <c r="AR138" s="5"/>
      <c r="AS138" s="5"/>
      <c r="AT138" s="5">
        <v>4</v>
      </c>
      <c r="AU138" s="5"/>
      <c r="AV138" s="5"/>
      <c r="AW138" s="5"/>
      <c r="AX138" s="5"/>
      <c r="AY138" s="5">
        <v>2</v>
      </c>
      <c r="AZ138" s="5"/>
      <c r="BA138" s="5">
        <f t="shared" si="5"/>
        <v>18</v>
      </c>
      <c r="BB138" s="28" t="s">
        <v>19</v>
      </c>
      <c r="BC138" s="5"/>
    </row>
    <row r="139" spans="1:55" s="9" customFormat="1" ht="11.25" hidden="1">
      <c r="A139" s="19" t="s">
        <v>184</v>
      </c>
      <c r="B139" s="9" t="str">
        <f>"HIBAJAVÍTÓ TOLL (STRANGER)"</f>
        <v>HIBAJAVÍTÓ TOLL (STRANGER)</v>
      </c>
      <c r="D139" s="4"/>
      <c r="E139" s="1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0"/>
      <c r="Y139" s="4"/>
      <c r="Z139" s="4"/>
      <c r="AA139" s="4"/>
      <c r="AB139" s="4"/>
      <c r="AC139" s="4"/>
      <c r="AD139" s="4"/>
      <c r="AE139" s="4"/>
      <c r="AF139" s="4"/>
      <c r="AG139" s="4"/>
      <c r="AH139" s="13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5">
        <f t="shared" si="5"/>
        <v>0</v>
      </c>
      <c r="BB139" s="27"/>
      <c r="BC139" s="4"/>
    </row>
    <row r="140" spans="1:55" s="9" customFormat="1" ht="11.25" hidden="1">
      <c r="A140" s="19" t="s">
        <v>185</v>
      </c>
      <c r="B140" s="9" t="str">
        <f>"HULLADÉK ELHELYEZÉSI JEGY"</f>
        <v>HULLADÉK ELHELYEZÉSI JEGY</v>
      </c>
      <c r="C140" s="9" t="str">
        <f>"(TISZASZOLG)"</f>
        <v>(TISZASZOLG)</v>
      </c>
      <c r="D140" s="4"/>
      <c r="E140" s="1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0"/>
      <c r="Y140" s="4"/>
      <c r="Z140" s="4"/>
      <c r="AA140" s="4"/>
      <c r="AB140" s="4"/>
      <c r="AC140" s="4"/>
      <c r="AD140" s="4"/>
      <c r="AE140" s="4"/>
      <c r="AF140" s="4"/>
      <c r="AG140" s="4"/>
      <c r="AH140" s="13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5">
        <f aca="true" t="shared" si="7" ref="BA140:BA193">SUM(D140:AZ140)</f>
        <v>0</v>
      </c>
      <c r="BB140" s="27"/>
      <c r="BC140" s="4"/>
    </row>
    <row r="141" spans="1:55" s="9" customFormat="1" ht="11.25" hidden="1">
      <c r="A141" s="19" t="s">
        <v>186</v>
      </c>
      <c r="B141" s="9" t="str">
        <f>"IKTATÓKÖNYV (SOROS)"</f>
        <v>IKTATÓKÖNYV (SOROS)</v>
      </c>
      <c r="C141" s="9" t="str">
        <f>"C 5230-152"</f>
        <v>C 5230-152</v>
      </c>
      <c r="D141" s="4"/>
      <c r="E141" s="1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0"/>
      <c r="Y141" s="4"/>
      <c r="Z141" s="4"/>
      <c r="AA141" s="4"/>
      <c r="AB141" s="4"/>
      <c r="AC141" s="4"/>
      <c r="AD141" s="4"/>
      <c r="AE141" s="4"/>
      <c r="AF141" s="4"/>
      <c r="AG141" s="4"/>
      <c r="AH141" s="13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5">
        <f t="shared" si="7"/>
        <v>0</v>
      </c>
      <c r="BB141" s="27"/>
      <c r="BC141" s="4"/>
    </row>
    <row r="142" spans="1:55" s="9" customFormat="1" ht="11.25">
      <c r="A142" s="19" t="s">
        <v>176</v>
      </c>
      <c r="B142" s="9" t="s">
        <v>97</v>
      </c>
      <c r="C142" s="9" t="s">
        <v>98</v>
      </c>
      <c r="D142" s="4"/>
      <c r="E142" s="13"/>
      <c r="F142" s="4"/>
      <c r="G142" s="4"/>
      <c r="H142" s="4"/>
      <c r="I142" s="4">
        <v>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0"/>
      <c r="Y142" s="4"/>
      <c r="Z142" s="4"/>
      <c r="AA142" s="4"/>
      <c r="AB142" s="4"/>
      <c r="AC142" s="4"/>
      <c r="AD142" s="4"/>
      <c r="AE142" s="4"/>
      <c r="AF142" s="4"/>
      <c r="AG142" s="4"/>
      <c r="AH142" s="13"/>
      <c r="AI142" s="4"/>
      <c r="AJ142" s="4"/>
      <c r="AK142" s="4"/>
      <c r="AL142" s="4">
        <v>1</v>
      </c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5">
        <f t="shared" si="7"/>
        <v>2</v>
      </c>
      <c r="BB142" s="28" t="s">
        <v>14</v>
      </c>
      <c r="BC142" s="4"/>
    </row>
    <row r="143" spans="1:55" s="8" customFormat="1" ht="11.25">
      <c r="A143" s="19" t="s">
        <v>177</v>
      </c>
      <c r="B143" s="9" t="s">
        <v>62</v>
      </c>
      <c r="C143" s="9" t="str">
        <f>"A/4"</f>
        <v>A/4</v>
      </c>
      <c r="D143" s="5"/>
      <c r="E143" s="13"/>
      <c r="F143" s="5"/>
      <c r="G143" s="5"/>
      <c r="H143" s="5">
        <v>100</v>
      </c>
      <c r="I143" s="5">
        <v>200</v>
      </c>
      <c r="J143" s="5"/>
      <c r="K143" s="5"/>
      <c r="L143" s="5">
        <v>100</v>
      </c>
      <c r="M143" s="5"/>
      <c r="N143" s="5">
        <v>100</v>
      </c>
      <c r="O143" s="5"/>
      <c r="P143" s="5"/>
      <c r="Q143" s="5">
        <v>100</v>
      </c>
      <c r="R143" s="5"/>
      <c r="S143" s="5"/>
      <c r="T143" s="5"/>
      <c r="U143" s="5"/>
      <c r="V143" s="5">
        <v>100</v>
      </c>
      <c r="W143" s="5"/>
      <c r="X143" s="11"/>
      <c r="Y143" s="5"/>
      <c r="Z143" s="5"/>
      <c r="AA143" s="5"/>
      <c r="AB143" s="5"/>
      <c r="AC143" s="5"/>
      <c r="AD143" s="5"/>
      <c r="AE143" s="5"/>
      <c r="AF143" s="5"/>
      <c r="AG143" s="5"/>
      <c r="AH143" s="13"/>
      <c r="AI143" s="5"/>
      <c r="AJ143" s="5"/>
      <c r="AK143" s="5"/>
      <c r="AL143" s="5">
        <v>200</v>
      </c>
      <c r="AM143" s="5">
        <v>200</v>
      </c>
      <c r="AN143" s="5">
        <v>400</v>
      </c>
      <c r="AO143" s="5">
        <v>200</v>
      </c>
      <c r="AP143" s="5"/>
      <c r="AQ143" s="5"/>
      <c r="AR143" s="5"/>
      <c r="AS143" s="5">
        <v>300</v>
      </c>
      <c r="AT143" s="5">
        <v>500</v>
      </c>
      <c r="AU143" s="5"/>
      <c r="AV143" s="5"/>
      <c r="AW143" s="5"/>
      <c r="AX143" s="5"/>
      <c r="AY143" s="5">
        <v>100</v>
      </c>
      <c r="AZ143" s="5">
        <v>500</v>
      </c>
      <c r="BA143" s="5">
        <f t="shared" si="7"/>
        <v>3100</v>
      </c>
      <c r="BB143" s="28" t="s">
        <v>14</v>
      </c>
      <c r="BC143" s="5"/>
    </row>
    <row r="144" spans="1:57" s="9" customFormat="1" ht="11.25">
      <c r="A144" s="19" t="s">
        <v>178</v>
      </c>
      <c r="B144" s="9" t="s">
        <v>76</v>
      </c>
      <c r="C144" s="9" t="s">
        <v>269</v>
      </c>
      <c r="D144" s="4"/>
      <c r="E144" s="13">
        <v>1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0"/>
      <c r="Y144" s="4"/>
      <c r="Z144" s="4"/>
      <c r="AA144" s="4"/>
      <c r="AB144" s="4"/>
      <c r="AC144" s="4"/>
      <c r="AD144" s="4"/>
      <c r="AE144" s="4"/>
      <c r="AF144" s="4"/>
      <c r="AG144" s="4"/>
      <c r="AH144" s="13"/>
      <c r="AI144" s="4"/>
      <c r="AJ144" s="4"/>
      <c r="AK144" s="4"/>
      <c r="AL144" s="4">
        <v>1</v>
      </c>
      <c r="AM144" s="4">
        <v>1</v>
      </c>
      <c r="AN144" s="4">
        <v>2</v>
      </c>
      <c r="AO144" s="4">
        <v>1</v>
      </c>
      <c r="AP144" s="4">
        <v>1</v>
      </c>
      <c r="AQ144" s="4"/>
      <c r="AR144" s="4"/>
      <c r="AS144" s="4"/>
      <c r="AT144" s="4"/>
      <c r="AU144" s="4"/>
      <c r="AV144" s="4">
        <v>1</v>
      </c>
      <c r="AW144" s="4">
        <v>1</v>
      </c>
      <c r="AX144" s="4">
        <v>1</v>
      </c>
      <c r="AY144" s="4">
        <v>1</v>
      </c>
      <c r="AZ144" s="4"/>
      <c r="BA144" s="5">
        <f t="shared" si="7"/>
        <v>11</v>
      </c>
      <c r="BB144" s="28" t="s">
        <v>14</v>
      </c>
      <c r="BC144" s="4"/>
      <c r="BE144" s="8"/>
    </row>
    <row r="145" spans="1:55" s="9" customFormat="1" ht="11.25">
      <c r="A145" s="19" t="s">
        <v>179</v>
      </c>
      <c r="B145" s="9" t="str">
        <f>"GOLYÓSTOLL (PENAC RB-085 B.)"</f>
        <v>GOLYÓSTOLL (PENAC RB-085 B.)</v>
      </c>
      <c r="C145" s="9" t="s">
        <v>24</v>
      </c>
      <c r="D145" s="4">
        <v>10</v>
      </c>
      <c r="E145" s="13">
        <v>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0"/>
      <c r="Y145" s="4"/>
      <c r="Z145" s="4"/>
      <c r="AA145" s="4"/>
      <c r="AB145" s="4"/>
      <c r="AC145" s="4"/>
      <c r="AD145" s="4"/>
      <c r="AE145" s="4"/>
      <c r="AF145" s="4"/>
      <c r="AG145" s="4"/>
      <c r="AH145" s="13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5">
        <f t="shared" si="7"/>
        <v>12</v>
      </c>
      <c r="BB145" s="28" t="s">
        <v>14</v>
      </c>
      <c r="BC145" s="4"/>
    </row>
    <row r="146" spans="1:55" s="9" customFormat="1" ht="11.25">
      <c r="A146" s="19" t="s">
        <v>180</v>
      </c>
      <c r="B146" s="9" t="s">
        <v>46</v>
      </c>
      <c r="C146" s="9" t="s">
        <v>42</v>
      </c>
      <c r="D146" s="4"/>
      <c r="E146" s="13">
        <v>4</v>
      </c>
      <c r="F146" s="4"/>
      <c r="G146" s="4"/>
      <c r="H146" s="4">
        <v>4</v>
      </c>
      <c r="I146" s="4">
        <v>10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0"/>
      <c r="Y146" s="4"/>
      <c r="Z146" s="4"/>
      <c r="AA146" s="4"/>
      <c r="AB146" s="4"/>
      <c r="AC146" s="4"/>
      <c r="AD146" s="4"/>
      <c r="AE146" s="4"/>
      <c r="AF146" s="4"/>
      <c r="AG146" s="4"/>
      <c r="AH146" s="13"/>
      <c r="AI146" s="4"/>
      <c r="AJ146" s="4"/>
      <c r="AK146" s="4"/>
      <c r="AL146" s="4"/>
      <c r="AM146" s="4"/>
      <c r="AN146" s="4"/>
      <c r="AO146" s="4"/>
      <c r="AP146" s="4">
        <v>3</v>
      </c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5">
        <f t="shared" si="7"/>
        <v>21</v>
      </c>
      <c r="BB146" s="28" t="s">
        <v>14</v>
      </c>
      <c r="BC146" s="4"/>
    </row>
    <row r="147" spans="1:55" s="9" customFormat="1" ht="11.25">
      <c r="A147" s="19" t="s">
        <v>181</v>
      </c>
      <c r="B147" s="9" t="s">
        <v>46</v>
      </c>
      <c r="C147" s="9" t="s">
        <v>43</v>
      </c>
      <c r="D147" s="4"/>
      <c r="E147" s="13"/>
      <c r="F147" s="4"/>
      <c r="G147" s="4"/>
      <c r="H147" s="4"/>
      <c r="I147" s="4">
        <v>2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0"/>
      <c r="Y147" s="4"/>
      <c r="Z147" s="4"/>
      <c r="AA147" s="4"/>
      <c r="AB147" s="4"/>
      <c r="AC147" s="4"/>
      <c r="AD147" s="4"/>
      <c r="AE147" s="4"/>
      <c r="AF147" s="4"/>
      <c r="AG147" s="4"/>
      <c r="AH147" s="13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5">
        <f t="shared" si="7"/>
        <v>2</v>
      </c>
      <c r="BB147" s="28" t="s">
        <v>14</v>
      </c>
      <c r="BC147" s="4"/>
    </row>
    <row r="148" spans="1:55" s="9" customFormat="1" ht="11.25">
      <c r="A148" s="19" t="s">
        <v>182</v>
      </c>
      <c r="B148" s="9" t="s">
        <v>46</v>
      </c>
      <c r="C148" s="9" t="s">
        <v>63</v>
      </c>
      <c r="D148" s="4"/>
      <c r="E148" s="13"/>
      <c r="F148" s="4"/>
      <c r="G148" s="4"/>
      <c r="H148" s="4">
        <v>2</v>
      </c>
      <c r="I148" s="4">
        <v>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0"/>
      <c r="Y148" s="4"/>
      <c r="Z148" s="4"/>
      <c r="AA148" s="4"/>
      <c r="AB148" s="4"/>
      <c r="AC148" s="4"/>
      <c r="AD148" s="4"/>
      <c r="AE148" s="4"/>
      <c r="AF148" s="4"/>
      <c r="AG148" s="4"/>
      <c r="AH148" s="13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5">
        <f t="shared" si="7"/>
        <v>4</v>
      </c>
      <c r="BB148" s="28" t="s">
        <v>14</v>
      </c>
      <c r="BC148" s="4"/>
    </row>
    <row r="149" spans="1:55" s="9" customFormat="1" ht="11.25">
      <c r="A149" s="19" t="s">
        <v>183</v>
      </c>
      <c r="B149" s="9" t="s">
        <v>58</v>
      </c>
      <c r="C149" s="9" t="s">
        <v>42</v>
      </c>
      <c r="D149" s="4">
        <v>30</v>
      </c>
      <c r="E149" s="13">
        <v>4</v>
      </c>
      <c r="F149" s="4"/>
      <c r="G149" s="4"/>
      <c r="H149" s="4">
        <v>4</v>
      </c>
      <c r="I149" s="4">
        <v>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0"/>
      <c r="Y149" s="4"/>
      <c r="Z149" s="4"/>
      <c r="AA149" s="4"/>
      <c r="AB149" s="4"/>
      <c r="AC149" s="4"/>
      <c r="AD149" s="4"/>
      <c r="AE149" s="4"/>
      <c r="AF149" s="4"/>
      <c r="AG149" s="4"/>
      <c r="AH149" s="13"/>
      <c r="AI149" s="4"/>
      <c r="AJ149" s="4"/>
      <c r="AK149" s="4"/>
      <c r="AL149" s="4"/>
      <c r="AM149" s="4"/>
      <c r="AN149" s="4"/>
      <c r="AO149" s="4"/>
      <c r="AP149" s="4"/>
      <c r="AQ149" s="4">
        <v>2</v>
      </c>
      <c r="AR149" s="4">
        <v>2</v>
      </c>
      <c r="AS149" s="4"/>
      <c r="AT149" s="4"/>
      <c r="AU149" s="4"/>
      <c r="AV149" s="4">
        <v>2</v>
      </c>
      <c r="AW149" s="4">
        <v>2</v>
      </c>
      <c r="AX149" s="4"/>
      <c r="AY149" s="4">
        <v>2</v>
      </c>
      <c r="AZ149" s="4"/>
      <c r="BA149" s="5">
        <f t="shared" si="7"/>
        <v>50</v>
      </c>
      <c r="BB149" s="28" t="s">
        <v>14</v>
      </c>
      <c r="BC149" s="4"/>
    </row>
    <row r="150" spans="1:55" s="9" customFormat="1" ht="11.25">
      <c r="A150" s="19" t="s">
        <v>184</v>
      </c>
      <c r="B150" s="9" t="s">
        <v>58</v>
      </c>
      <c r="C150" s="9" t="s">
        <v>43</v>
      </c>
      <c r="D150" s="4"/>
      <c r="E150" s="13"/>
      <c r="F150" s="4"/>
      <c r="G150" s="4"/>
      <c r="H150" s="4">
        <v>2</v>
      </c>
      <c r="I150" s="4">
        <v>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0"/>
      <c r="Y150" s="4"/>
      <c r="Z150" s="4"/>
      <c r="AA150" s="4"/>
      <c r="AB150" s="4"/>
      <c r="AC150" s="4"/>
      <c r="AD150" s="4"/>
      <c r="AE150" s="4"/>
      <c r="AF150" s="4"/>
      <c r="AG150" s="4"/>
      <c r="AH150" s="13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5">
        <f t="shared" si="7"/>
        <v>4</v>
      </c>
      <c r="BB150" s="28" t="s">
        <v>14</v>
      </c>
      <c r="BC150" s="4"/>
    </row>
    <row r="151" spans="1:55" s="9" customFormat="1" ht="11.25">
      <c r="A151" s="19" t="s">
        <v>185</v>
      </c>
      <c r="B151" s="9" t="str">
        <f>"GOLYÓSTOLL (ZEBRA F-301)"</f>
        <v>GOLYÓSTOLL (ZEBRA F-301)</v>
      </c>
      <c r="C151" s="9" t="s">
        <v>42</v>
      </c>
      <c r="D151" s="4"/>
      <c r="E151" s="13">
        <v>4</v>
      </c>
      <c r="F151" s="4"/>
      <c r="G151" s="4">
        <v>10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0"/>
      <c r="Y151" s="4"/>
      <c r="Z151" s="4"/>
      <c r="AA151" s="4"/>
      <c r="AB151" s="4"/>
      <c r="AC151" s="4"/>
      <c r="AD151" s="4"/>
      <c r="AE151" s="4"/>
      <c r="AF151" s="4"/>
      <c r="AG151" s="4"/>
      <c r="AH151" s="13"/>
      <c r="AI151" s="4"/>
      <c r="AJ151" s="4"/>
      <c r="AK151" s="4"/>
      <c r="AL151" s="4"/>
      <c r="AM151" s="4"/>
      <c r="AN151" s="4"/>
      <c r="AO151" s="4"/>
      <c r="AP151" s="4">
        <v>2</v>
      </c>
      <c r="AQ151" s="4"/>
      <c r="AR151" s="4"/>
      <c r="AS151" s="4"/>
      <c r="AT151" s="4">
        <v>3</v>
      </c>
      <c r="AU151" s="4"/>
      <c r="AV151" s="4"/>
      <c r="AW151" s="4"/>
      <c r="AX151" s="4">
        <v>1</v>
      </c>
      <c r="AY151" s="4">
        <v>2</v>
      </c>
      <c r="AZ151" s="4"/>
      <c r="BA151" s="5">
        <f t="shared" si="7"/>
        <v>22</v>
      </c>
      <c r="BB151" s="28" t="s">
        <v>14</v>
      </c>
      <c r="BC151" s="4"/>
    </row>
    <row r="152" spans="1:55" s="9" customFormat="1" ht="11.25">
      <c r="A152" s="19" t="s">
        <v>186</v>
      </c>
      <c r="B152" s="9" t="s">
        <v>69</v>
      </c>
      <c r="C152" s="9" t="s">
        <v>42</v>
      </c>
      <c r="D152" s="4">
        <v>5</v>
      </c>
      <c r="E152" s="13"/>
      <c r="F152" s="4"/>
      <c r="G152" s="4">
        <v>10</v>
      </c>
      <c r="H152" s="4"/>
      <c r="I152" s="4"/>
      <c r="J152" s="4"/>
      <c r="K152" s="4"/>
      <c r="L152" s="4"/>
      <c r="M152" s="4"/>
      <c r="N152" s="4">
        <v>4</v>
      </c>
      <c r="O152" s="4"/>
      <c r="P152" s="4"/>
      <c r="Q152" s="4"/>
      <c r="R152" s="4"/>
      <c r="S152" s="4"/>
      <c r="T152" s="4"/>
      <c r="U152" s="4"/>
      <c r="V152" s="4"/>
      <c r="W152" s="4"/>
      <c r="X152" s="10"/>
      <c r="Y152" s="4"/>
      <c r="Z152" s="4"/>
      <c r="AA152" s="4"/>
      <c r="AB152" s="4"/>
      <c r="AC152" s="4"/>
      <c r="AD152" s="4"/>
      <c r="AE152" s="4"/>
      <c r="AF152" s="4"/>
      <c r="AG152" s="4"/>
      <c r="AH152" s="13"/>
      <c r="AI152" s="4"/>
      <c r="AJ152" s="4"/>
      <c r="AK152" s="4"/>
      <c r="AL152" s="4">
        <v>2</v>
      </c>
      <c r="AM152" s="4">
        <v>2</v>
      </c>
      <c r="AN152" s="4">
        <v>2</v>
      </c>
      <c r="AO152" s="4">
        <v>2</v>
      </c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5">
        <f t="shared" si="7"/>
        <v>27</v>
      </c>
      <c r="BB152" s="28" t="s">
        <v>14</v>
      </c>
      <c r="BC152" s="4"/>
    </row>
    <row r="153" spans="1:55" s="9" customFormat="1" ht="11.25">
      <c r="A153" s="19" t="s">
        <v>187</v>
      </c>
      <c r="B153" s="9" t="s">
        <v>267</v>
      </c>
      <c r="C153" s="9" t="s">
        <v>268</v>
      </c>
      <c r="D153" s="4">
        <v>5</v>
      </c>
      <c r="E153" s="13"/>
      <c r="F153" s="4"/>
      <c r="G153" s="4">
        <v>5</v>
      </c>
      <c r="H153" s="4"/>
      <c r="I153" s="4"/>
      <c r="J153" s="4"/>
      <c r="K153" s="4"/>
      <c r="L153" s="4">
        <v>10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0"/>
      <c r="Y153" s="4"/>
      <c r="Z153" s="4"/>
      <c r="AA153" s="4"/>
      <c r="AB153" s="4"/>
      <c r="AC153" s="4"/>
      <c r="AD153" s="4"/>
      <c r="AE153" s="4"/>
      <c r="AF153" s="4"/>
      <c r="AG153" s="4"/>
      <c r="AH153" s="13"/>
      <c r="AI153" s="4"/>
      <c r="AJ153" s="4"/>
      <c r="AK153" s="4"/>
      <c r="AL153" s="4">
        <v>2</v>
      </c>
      <c r="AM153" s="4">
        <v>2</v>
      </c>
      <c r="AN153" s="4">
        <v>2</v>
      </c>
      <c r="AO153" s="4">
        <v>2</v>
      </c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5">
        <f t="shared" si="7"/>
        <v>28</v>
      </c>
      <c r="BB153" s="28" t="s">
        <v>14</v>
      </c>
      <c r="BC153" s="4"/>
    </row>
    <row r="154" spans="1:55" s="9" customFormat="1" ht="11.25">
      <c r="A154" s="19" t="s">
        <v>188</v>
      </c>
      <c r="B154" s="9" t="s">
        <v>95</v>
      </c>
      <c r="C154" s="9" t="s">
        <v>99</v>
      </c>
      <c r="D154" s="4"/>
      <c r="E154" s="13"/>
      <c r="F154" s="4"/>
      <c r="G154" s="4"/>
      <c r="H154" s="4">
        <v>1</v>
      </c>
      <c r="I154" s="4">
        <v>1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0"/>
      <c r="Y154" s="4"/>
      <c r="Z154" s="4"/>
      <c r="AA154" s="4"/>
      <c r="AB154" s="4"/>
      <c r="AC154" s="4"/>
      <c r="AD154" s="4"/>
      <c r="AE154" s="4"/>
      <c r="AF154" s="4"/>
      <c r="AG154" s="4"/>
      <c r="AH154" s="13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5">
        <f t="shared" si="7"/>
        <v>2</v>
      </c>
      <c r="BB154" s="28" t="s">
        <v>14</v>
      </c>
      <c r="BC154" s="4"/>
    </row>
    <row r="155" spans="1:55" s="9" customFormat="1" ht="11.25">
      <c r="A155" s="19" t="s">
        <v>189</v>
      </c>
      <c r="B155" s="9" t="s">
        <v>90</v>
      </c>
      <c r="C155" s="9" t="s">
        <v>118</v>
      </c>
      <c r="D155" s="4"/>
      <c r="E155" s="13">
        <v>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0"/>
      <c r="Y155" s="4"/>
      <c r="Z155" s="4"/>
      <c r="AA155" s="4"/>
      <c r="AB155" s="4"/>
      <c r="AC155" s="4"/>
      <c r="AD155" s="4"/>
      <c r="AE155" s="4"/>
      <c r="AF155" s="4"/>
      <c r="AG155" s="4"/>
      <c r="AH155" s="13"/>
      <c r="AI155" s="4"/>
      <c r="AJ155" s="4"/>
      <c r="AK155" s="4"/>
      <c r="AL155" s="4"/>
      <c r="AM155" s="4"/>
      <c r="AN155" s="4"/>
      <c r="AO155" s="4"/>
      <c r="AP155" s="4">
        <v>2</v>
      </c>
      <c r="AQ155" s="4"/>
      <c r="AR155" s="4"/>
      <c r="AS155" s="4"/>
      <c r="AT155" s="4"/>
      <c r="AU155" s="4"/>
      <c r="AV155" s="4"/>
      <c r="AW155" s="4">
        <v>2</v>
      </c>
      <c r="AX155" s="4"/>
      <c r="AY155" s="4"/>
      <c r="AZ155" s="4"/>
      <c r="BA155" s="5">
        <f t="shared" si="7"/>
        <v>6</v>
      </c>
      <c r="BB155" s="28" t="s">
        <v>14</v>
      </c>
      <c r="BC155" s="4"/>
    </row>
    <row r="156" spans="1:55" s="8" customFormat="1" ht="11.25" hidden="1">
      <c r="A156" s="19" t="s">
        <v>204</v>
      </c>
      <c r="B156" s="9" t="s">
        <v>27</v>
      </c>
      <c r="C156" s="9" t="str">
        <f>"A/4"</f>
        <v>A/4</v>
      </c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1"/>
      <c r="Y156" s="5"/>
      <c r="Z156" s="5"/>
      <c r="AA156" s="5"/>
      <c r="AB156" s="5"/>
      <c r="AC156" s="5"/>
      <c r="AD156" s="5"/>
      <c r="AE156" s="5"/>
      <c r="AF156" s="5"/>
      <c r="AG156" s="5"/>
      <c r="AH156" s="13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>
        <f t="shared" si="7"/>
        <v>0</v>
      </c>
      <c r="BB156" s="28" t="s">
        <v>14</v>
      </c>
      <c r="BC156" s="5"/>
    </row>
    <row r="157" spans="1:55" s="9" customFormat="1" ht="11.25">
      <c r="A157" s="19" t="s">
        <v>190</v>
      </c>
      <c r="B157" s="9" t="s">
        <v>74</v>
      </c>
      <c r="C157" s="9" t="s">
        <v>75</v>
      </c>
      <c r="D157" s="4"/>
      <c r="E157" s="13"/>
      <c r="F157" s="4"/>
      <c r="G157" s="4"/>
      <c r="H157" s="4"/>
      <c r="I157" s="4"/>
      <c r="J157" s="4"/>
      <c r="K157" s="4"/>
      <c r="L157" s="4">
        <v>1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0"/>
      <c r="Y157" s="4"/>
      <c r="Z157" s="4"/>
      <c r="AA157" s="4"/>
      <c r="AB157" s="4"/>
      <c r="AC157" s="4"/>
      <c r="AD157" s="4"/>
      <c r="AE157" s="4"/>
      <c r="AF157" s="4"/>
      <c r="AG157" s="4"/>
      <c r="AH157" s="13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5">
        <f t="shared" si="7"/>
        <v>1</v>
      </c>
      <c r="BB157" s="28" t="s">
        <v>14</v>
      </c>
      <c r="BC157" s="4"/>
    </row>
    <row r="158" spans="1:55" s="9" customFormat="1" ht="11.25">
      <c r="A158" s="19" t="s">
        <v>191</v>
      </c>
      <c r="B158" s="9" t="s">
        <v>271</v>
      </c>
      <c r="D158" s="4">
        <v>15</v>
      </c>
      <c r="E158" s="13"/>
      <c r="F158" s="4">
        <v>2</v>
      </c>
      <c r="G158" s="4">
        <v>24</v>
      </c>
      <c r="H158" s="4">
        <v>4</v>
      </c>
      <c r="I158" s="4">
        <v>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>
        <v>1</v>
      </c>
      <c r="X158" s="10"/>
      <c r="Y158" s="4"/>
      <c r="Z158" s="4"/>
      <c r="AA158" s="4"/>
      <c r="AB158" s="4"/>
      <c r="AC158" s="4"/>
      <c r="AD158" s="4"/>
      <c r="AE158" s="4"/>
      <c r="AF158" s="4"/>
      <c r="AG158" s="4"/>
      <c r="AH158" s="13"/>
      <c r="AI158" s="4"/>
      <c r="AJ158" s="4"/>
      <c r="AK158" s="4"/>
      <c r="AL158" s="4"/>
      <c r="AM158" s="4"/>
      <c r="AN158" s="4"/>
      <c r="AO158" s="4"/>
      <c r="AP158" s="4">
        <v>1</v>
      </c>
      <c r="AQ158" s="4">
        <v>1</v>
      </c>
      <c r="AR158" s="4">
        <v>1</v>
      </c>
      <c r="AS158" s="4"/>
      <c r="AT158" s="4">
        <v>3</v>
      </c>
      <c r="AU158" s="4"/>
      <c r="AV158" s="4"/>
      <c r="AW158" s="4"/>
      <c r="AX158" s="4">
        <v>1</v>
      </c>
      <c r="AY158" s="4">
        <v>4</v>
      </c>
      <c r="AZ158" s="4"/>
      <c r="BA158" s="5">
        <f t="shared" si="7"/>
        <v>61</v>
      </c>
      <c r="BB158" s="28" t="s">
        <v>14</v>
      </c>
      <c r="BC158" s="4"/>
    </row>
    <row r="159" spans="1:57" s="8" customFormat="1" ht="11.25" hidden="1">
      <c r="A159" s="19" t="s">
        <v>207</v>
      </c>
      <c r="B159" s="9" t="str">
        <f>"LEFŰZHETŐS TASAK"</f>
        <v>LEFŰZHETŐS TASAK</v>
      </c>
      <c r="C159" s="9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1"/>
      <c r="Y159" s="5"/>
      <c r="Z159" s="5"/>
      <c r="AA159" s="5"/>
      <c r="AB159" s="5"/>
      <c r="AC159" s="5"/>
      <c r="AD159" s="5"/>
      <c r="AE159" s="5"/>
      <c r="AF159" s="5"/>
      <c r="AG159" s="5"/>
      <c r="AH159" s="13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>
        <f t="shared" si="7"/>
        <v>0</v>
      </c>
      <c r="BB159" s="28" t="s">
        <v>14</v>
      </c>
      <c r="BC159" s="5"/>
      <c r="BE159" s="9"/>
    </row>
    <row r="160" spans="1:55" s="9" customFormat="1" ht="11.25" hidden="1">
      <c r="A160" s="19" t="s">
        <v>208</v>
      </c>
      <c r="B160" s="9" t="str">
        <f>"LEPORELLÓ (1 PLD-OS)"</f>
        <v>LEPORELLÓ (1 PLD-OS)</v>
      </c>
      <c r="C160" s="9" t="s">
        <v>0</v>
      </c>
      <c r="D160" s="4"/>
      <c r="E160" s="1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0"/>
      <c r="Y160" s="4"/>
      <c r="Z160" s="4"/>
      <c r="AA160" s="4"/>
      <c r="AB160" s="4"/>
      <c r="AC160" s="4"/>
      <c r="AD160" s="4"/>
      <c r="AE160" s="4"/>
      <c r="AF160" s="4"/>
      <c r="AG160" s="4"/>
      <c r="AH160" s="13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5">
        <f t="shared" si="7"/>
        <v>0</v>
      </c>
      <c r="BB160" s="28" t="s">
        <v>14</v>
      </c>
      <c r="BC160" s="4"/>
    </row>
    <row r="161" spans="1:55" s="9" customFormat="1" ht="11.25" hidden="1">
      <c r="A161" s="19" t="s">
        <v>209</v>
      </c>
      <c r="B161" s="9" t="str">
        <f>"LEPORELLÓ (2 PLD-OS)"</f>
        <v>LEPORELLÓ (2 PLD-OS)</v>
      </c>
      <c r="C161" s="9" t="s">
        <v>0</v>
      </c>
      <c r="D161" s="4"/>
      <c r="E161" s="1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0"/>
      <c r="Y161" s="4"/>
      <c r="Z161" s="4"/>
      <c r="AA161" s="4"/>
      <c r="AB161" s="4"/>
      <c r="AC161" s="4"/>
      <c r="AD161" s="4"/>
      <c r="AE161" s="4"/>
      <c r="AF161" s="4"/>
      <c r="AG161" s="4"/>
      <c r="AH161" s="13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5">
        <f t="shared" si="7"/>
        <v>0</v>
      </c>
      <c r="BB161" s="28" t="s">
        <v>14</v>
      </c>
      <c r="BC161" s="4"/>
    </row>
    <row r="162" spans="1:57" s="9" customFormat="1" ht="11.25" hidden="1">
      <c r="A162" s="19" t="s">
        <v>210</v>
      </c>
      <c r="B162" s="9" t="str">
        <f>"LEPORELLO (SZÉLES) MÜLLER"</f>
        <v>LEPORELLO (SZÉLES) MÜLLER</v>
      </c>
      <c r="C162" s="9" t="str">
        <f>"382/1"</f>
        <v>382/1</v>
      </c>
      <c r="D162" s="4"/>
      <c r="E162" s="1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0"/>
      <c r="Y162" s="4"/>
      <c r="Z162" s="4"/>
      <c r="AA162" s="4"/>
      <c r="AB162" s="4"/>
      <c r="AC162" s="4"/>
      <c r="AD162" s="4"/>
      <c r="AE162" s="4"/>
      <c r="AF162" s="4"/>
      <c r="AG162" s="4"/>
      <c r="AH162" s="13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5">
        <f t="shared" si="7"/>
        <v>0</v>
      </c>
      <c r="BB162" s="28" t="s">
        <v>14</v>
      </c>
      <c r="BC162" s="4"/>
      <c r="BE162" s="8"/>
    </row>
    <row r="163" spans="1:57" s="8" customFormat="1" ht="11.25" hidden="1">
      <c r="A163" s="19" t="s">
        <v>211</v>
      </c>
      <c r="B163" s="9" t="str">
        <f>"LÉPTÉKES VONALZÓ"</f>
        <v>LÉPTÉKES VONALZÓ</v>
      </c>
      <c r="C163" s="9" t="str">
        <f>"601"</f>
        <v>601</v>
      </c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1"/>
      <c r="Y163" s="5"/>
      <c r="Z163" s="5"/>
      <c r="AA163" s="5"/>
      <c r="AB163" s="5"/>
      <c r="AC163" s="5"/>
      <c r="AD163" s="5"/>
      <c r="AE163" s="5"/>
      <c r="AF163" s="5"/>
      <c r="AG163" s="5"/>
      <c r="AH163" s="13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>
        <f t="shared" si="7"/>
        <v>0</v>
      </c>
      <c r="BB163" s="28" t="s">
        <v>14</v>
      </c>
      <c r="BC163" s="5"/>
      <c r="BE163" s="9"/>
    </row>
    <row r="164" spans="1:57" s="9" customFormat="1" ht="11.25" hidden="1">
      <c r="A164" s="19" t="s">
        <v>212</v>
      </c>
      <c r="B164" s="9" t="str">
        <f>"LEVÉLBONTÓ KÉS"</f>
        <v>LEVÉLBONTÓ KÉS</v>
      </c>
      <c r="D164" s="4"/>
      <c r="E164" s="1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0"/>
      <c r="Y164" s="4"/>
      <c r="Z164" s="4"/>
      <c r="AA164" s="4"/>
      <c r="AB164" s="4"/>
      <c r="AC164" s="4"/>
      <c r="AD164" s="4"/>
      <c r="AE164" s="4"/>
      <c r="AF164" s="4"/>
      <c r="AG164" s="4"/>
      <c r="AH164" s="13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5">
        <f t="shared" si="7"/>
        <v>0</v>
      </c>
      <c r="BB164" s="28" t="s">
        <v>14</v>
      </c>
      <c r="BC164" s="4"/>
      <c r="BE164" s="8"/>
    </row>
    <row r="165" spans="1:55" s="8" customFormat="1" ht="11.25" hidden="1">
      <c r="A165" s="19" t="s">
        <v>213</v>
      </c>
      <c r="B165" s="9" t="str">
        <f>"LYUKASZTÓGÉP"</f>
        <v>LYUKASZTÓGÉP</v>
      </c>
      <c r="C165" s="9" t="str">
        <f>"EAGLE 837 L"</f>
        <v>EAGLE 837 L</v>
      </c>
      <c r="D165" s="5"/>
      <c r="E165" s="1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11"/>
      <c r="Y165" s="5"/>
      <c r="Z165" s="5"/>
      <c r="AA165" s="5"/>
      <c r="AB165" s="5"/>
      <c r="AC165" s="5"/>
      <c r="AD165" s="5"/>
      <c r="AE165" s="5"/>
      <c r="AF165" s="5"/>
      <c r="AG165" s="5"/>
      <c r="AH165" s="13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>
        <f t="shared" si="7"/>
        <v>0</v>
      </c>
      <c r="BB165" s="28" t="s">
        <v>14</v>
      </c>
      <c r="BC165" s="5"/>
    </row>
    <row r="166" spans="1:55" s="8" customFormat="1" ht="11.25" hidden="1">
      <c r="A166" s="19" t="s">
        <v>214</v>
      </c>
      <c r="B166" s="9" t="str">
        <f>"LYUKASZTÓGÉP"</f>
        <v>LYUKASZTÓGÉP</v>
      </c>
      <c r="C166" s="9" t="str">
        <f>"RAPESCO 820-P"</f>
        <v>RAPESCO 820-P</v>
      </c>
      <c r="D166" s="5"/>
      <c r="E166" s="1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11"/>
      <c r="Y166" s="5"/>
      <c r="Z166" s="5"/>
      <c r="AA166" s="5"/>
      <c r="AB166" s="5"/>
      <c r="AC166" s="5"/>
      <c r="AD166" s="5"/>
      <c r="AE166" s="5"/>
      <c r="AF166" s="5"/>
      <c r="AG166" s="5"/>
      <c r="AH166" s="13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>
        <f t="shared" si="7"/>
        <v>0</v>
      </c>
      <c r="BB166" s="28" t="s">
        <v>14</v>
      </c>
      <c r="BC166" s="5"/>
    </row>
    <row r="167" spans="1:55" s="8" customFormat="1" ht="11.25" hidden="1">
      <c r="A167" s="19" t="s">
        <v>215</v>
      </c>
      <c r="B167" s="9" t="str">
        <f>"LYUKASZTÓGÉP"</f>
        <v>LYUKASZTÓGÉP</v>
      </c>
      <c r="C167" s="9" t="str">
        <f>"SAX 318"</f>
        <v>SAX 318</v>
      </c>
      <c r="D167" s="5"/>
      <c r="E167" s="1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11"/>
      <c r="Y167" s="5"/>
      <c r="Z167" s="5"/>
      <c r="AA167" s="5"/>
      <c r="AB167" s="5"/>
      <c r="AC167" s="5"/>
      <c r="AD167" s="5"/>
      <c r="AE167" s="5"/>
      <c r="AF167" s="5"/>
      <c r="AG167" s="5"/>
      <c r="AH167" s="13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>
        <f t="shared" si="7"/>
        <v>0</v>
      </c>
      <c r="BB167" s="28" t="s">
        <v>14</v>
      </c>
      <c r="BC167" s="5"/>
    </row>
    <row r="168" spans="1:55" s="8" customFormat="1" ht="11.25" hidden="1">
      <c r="A168" s="19" t="s">
        <v>216</v>
      </c>
      <c r="B168" s="9" t="str">
        <f>"MAGIC CLIP ADAGOLÓ"</f>
        <v>MAGIC CLIP ADAGOLÓ</v>
      </c>
      <c r="C168" s="9"/>
      <c r="D168" s="5"/>
      <c r="E168" s="1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1"/>
      <c r="Y168" s="5"/>
      <c r="Z168" s="5"/>
      <c r="AA168" s="5"/>
      <c r="AB168" s="5"/>
      <c r="AC168" s="5"/>
      <c r="AD168" s="5"/>
      <c r="AE168" s="5"/>
      <c r="AF168" s="5"/>
      <c r="AG168" s="5"/>
      <c r="AH168" s="13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>
        <f t="shared" si="7"/>
        <v>0</v>
      </c>
      <c r="BB168" s="28" t="s">
        <v>14</v>
      </c>
      <c r="BC168" s="5"/>
    </row>
    <row r="169" spans="1:55" s="8" customFormat="1" ht="11.25">
      <c r="A169" s="19" t="s">
        <v>192</v>
      </c>
      <c r="B169" s="9" t="s">
        <v>122</v>
      </c>
      <c r="C169" s="9" t="s">
        <v>126</v>
      </c>
      <c r="D169" s="5"/>
      <c r="E169" s="13">
        <v>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11"/>
      <c r="Y169" s="5"/>
      <c r="Z169" s="5"/>
      <c r="AA169" s="5"/>
      <c r="AB169" s="5"/>
      <c r="AC169" s="5"/>
      <c r="AD169" s="5"/>
      <c r="AE169" s="5"/>
      <c r="AF169" s="5"/>
      <c r="AG169" s="5"/>
      <c r="AH169" s="13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>
        <f t="shared" si="7"/>
        <v>1</v>
      </c>
      <c r="BB169" s="28" t="s">
        <v>14</v>
      </c>
      <c r="BC169" s="5"/>
    </row>
    <row r="170" spans="1:55" s="8" customFormat="1" ht="11.25">
      <c r="A170" s="19" t="s">
        <v>193</v>
      </c>
      <c r="B170" s="9" t="s">
        <v>27</v>
      </c>
      <c r="C170" s="9" t="s">
        <v>73</v>
      </c>
      <c r="D170" s="5"/>
      <c r="E170" s="13"/>
      <c r="F170" s="5"/>
      <c r="G170" s="5"/>
      <c r="H170" s="5"/>
      <c r="I170" s="5">
        <v>3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1"/>
      <c r="Y170" s="5"/>
      <c r="Z170" s="5"/>
      <c r="AA170" s="5"/>
      <c r="AB170" s="5"/>
      <c r="AC170" s="5"/>
      <c r="AD170" s="5"/>
      <c r="AE170" s="5"/>
      <c r="AF170" s="5"/>
      <c r="AG170" s="5"/>
      <c r="AH170" s="13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>
        <f t="shared" si="7"/>
        <v>3</v>
      </c>
      <c r="BB170" s="28" t="s">
        <v>14</v>
      </c>
      <c r="BC170" s="5"/>
    </row>
    <row r="171" spans="1:55" s="8" customFormat="1" ht="11.25">
      <c r="A171" s="19" t="s">
        <v>194</v>
      </c>
      <c r="B171" s="9" t="s">
        <v>27</v>
      </c>
      <c r="C171" s="9" t="s">
        <v>96</v>
      </c>
      <c r="D171" s="5"/>
      <c r="E171" s="1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11"/>
      <c r="Y171" s="5"/>
      <c r="Z171" s="5"/>
      <c r="AA171" s="5"/>
      <c r="AB171" s="5"/>
      <c r="AC171" s="5"/>
      <c r="AD171" s="5"/>
      <c r="AE171" s="5"/>
      <c r="AF171" s="5"/>
      <c r="AG171" s="5"/>
      <c r="AH171" s="13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>
        <v>30</v>
      </c>
      <c r="AV171" s="5"/>
      <c r="AW171" s="5"/>
      <c r="AX171" s="5"/>
      <c r="AY171" s="5"/>
      <c r="AZ171" s="5"/>
      <c r="BA171" s="5">
        <f t="shared" si="7"/>
        <v>30</v>
      </c>
      <c r="BB171" s="28" t="s">
        <v>14</v>
      </c>
      <c r="BC171" s="5"/>
    </row>
    <row r="172" spans="1:55" s="8" customFormat="1" ht="11.25">
      <c r="A172" s="19" t="s">
        <v>195</v>
      </c>
      <c r="B172" s="9" t="s">
        <v>27</v>
      </c>
      <c r="C172" s="9" t="s">
        <v>87</v>
      </c>
      <c r="D172" s="5"/>
      <c r="E172" s="13"/>
      <c r="F172" s="5"/>
      <c r="G172" s="5"/>
      <c r="H172" s="5"/>
      <c r="I172" s="5">
        <v>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1"/>
      <c r="Y172" s="5"/>
      <c r="Z172" s="5"/>
      <c r="AA172" s="5"/>
      <c r="AB172" s="5"/>
      <c r="AC172" s="5"/>
      <c r="AD172" s="5"/>
      <c r="AE172" s="5"/>
      <c r="AF172" s="5"/>
      <c r="AG172" s="5"/>
      <c r="AH172" s="13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>
        <f t="shared" si="7"/>
        <v>4</v>
      </c>
      <c r="BB172" s="28" t="s">
        <v>14</v>
      </c>
      <c r="BC172" s="5"/>
    </row>
    <row r="173" spans="1:55" s="8" customFormat="1" ht="11.25" hidden="1">
      <c r="A173" s="19" t="s">
        <v>211</v>
      </c>
      <c r="B173" s="9" t="s">
        <v>28</v>
      </c>
      <c r="C173" s="9" t="str">
        <f>"A/4"</f>
        <v>A/4</v>
      </c>
      <c r="D173" s="5"/>
      <c r="E173" s="1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1"/>
      <c r="Y173" s="5"/>
      <c r="Z173" s="5"/>
      <c r="AA173" s="5"/>
      <c r="AB173" s="5"/>
      <c r="AC173" s="5"/>
      <c r="AD173" s="5"/>
      <c r="AE173" s="5"/>
      <c r="AF173" s="5"/>
      <c r="AG173" s="5"/>
      <c r="AH173" s="13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>
        <f t="shared" si="7"/>
        <v>0</v>
      </c>
      <c r="BB173" s="28" t="s">
        <v>14</v>
      </c>
      <c r="BC173" s="5"/>
    </row>
    <row r="174" spans="1:55" s="8" customFormat="1" ht="11.25">
      <c r="A174" s="19" t="s">
        <v>196</v>
      </c>
      <c r="B174" s="9" t="s">
        <v>27</v>
      </c>
      <c r="C174" s="9" t="s">
        <v>100</v>
      </c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11"/>
      <c r="Y174" s="5"/>
      <c r="Z174" s="5"/>
      <c r="AA174" s="5"/>
      <c r="AB174" s="5"/>
      <c r="AC174" s="5"/>
      <c r="AD174" s="5"/>
      <c r="AE174" s="5"/>
      <c r="AF174" s="5"/>
      <c r="AG174" s="5"/>
      <c r="AH174" s="13"/>
      <c r="AI174" s="5"/>
      <c r="AJ174" s="5"/>
      <c r="AK174" s="5"/>
      <c r="AL174" s="5"/>
      <c r="AM174" s="5"/>
      <c r="AN174" s="5">
        <v>20</v>
      </c>
      <c r="AO174" s="5"/>
      <c r="AP174" s="5"/>
      <c r="AQ174" s="5"/>
      <c r="AR174" s="5"/>
      <c r="AS174" s="5"/>
      <c r="AT174" s="5"/>
      <c r="AU174" s="5"/>
      <c r="AV174" s="5">
        <v>6</v>
      </c>
      <c r="AW174" s="5">
        <v>6</v>
      </c>
      <c r="AX174" s="5"/>
      <c r="AY174" s="5"/>
      <c r="AZ174" s="5"/>
      <c r="BA174" s="5">
        <f t="shared" si="7"/>
        <v>32</v>
      </c>
      <c r="BB174" s="28" t="s">
        <v>14</v>
      </c>
      <c r="BC174" s="5"/>
    </row>
    <row r="175" spans="1:55" s="8" customFormat="1" ht="11.25">
      <c r="A175" s="19" t="s">
        <v>197</v>
      </c>
      <c r="B175" s="9" t="s">
        <v>27</v>
      </c>
      <c r="C175" s="9" t="s">
        <v>101</v>
      </c>
      <c r="D175" s="5"/>
      <c r="E175" s="1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11"/>
      <c r="Y175" s="5"/>
      <c r="Z175" s="5"/>
      <c r="AA175" s="5"/>
      <c r="AB175" s="5"/>
      <c r="AC175" s="5"/>
      <c r="AD175" s="5"/>
      <c r="AE175" s="5"/>
      <c r="AF175" s="5"/>
      <c r="AG175" s="5"/>
      <c r="AH175" s="13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>
        <v>20</v>
      </c>
      <c r="AU175" s="5"/>
      <c r="AV175" s="5"/>
      <c r="AW175" s="5"/>
      <c r="AX175" s="5"/>
      <c r="AY175" s="5"/>
      <c r="AZ175" s="5"/>
      <c r="BA175" s="5">
        <f t="shared" si="7"/>
        <v>20</v>
      </c>
      <c r="BB175" s="28" t="s">
        <v>14</v>
      </c>
      <c r="BC175" s="5"/>
    </row>
    <row r="176" spans="1:55" s="8" customFormat="1" ht="11.25">
      <c r="A176" s="19" t="s">
        <v>198</v>
      </c>
      <c r="B176" s="9" t="s">
        <v>272</v>
      </c>
      <c r="C176" s="9" t="s">
        <v>276</v>
      </c>
      <c r="D176" s="5"/>
      <c r="E176" s="1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11"/>
      <c r="Y176" s="5"/>
      <c r="Z176" s="5"/>
      <c r="AA176" s="5"/>
      <c r="AB176" s="5"/>
      <c r="AC176" s="5"/>
      <c r="AD176" s="5"/>
      <c r="AE176" s="5"/>
      <c r="AF176" s="5"/>
      <c r="AG176" s="5"/>
      <c r="AH176" s="13"/>
      <c r="AI176" s="5"/>
      <c r="AJ176" s="5"/>
      <c r="AK176" s="5"/>
      <c r="AL176" s="5"/>
      <c r="AM176" s="5"/>
      <c r="AN176" s="5"/>
      <c r="AO176" s="5"/>
      <c r="AP176" s="5"/>
      <c r="AQ176" s="5">
        <v>10</v>
      </c>
      <c r="AR176" s="5">
        <v>10</v>
      </c>
      <c r="AS176" s="5"/>
      <c r="AT176" s="5"/>
      <c r="AU176" s="5"/>
      <c r="AV176" s="5"/>
      <c r="AW176" s="5"/>
      <c r="AX176" s="5"/>
      <c r="AY176" s="5">
        <v>10</v>
      </c>
      <c r="AZ176" s="5"/>
      <c r="BA176" s="5">
        <f t="shared" si="7"/>
        <v>30</v>
      </c>
      <c r="BB176" s="28" t="s">
        <v>14</v>
      </c>
      <c r="BC176" s="5"/>
    </row>
    <row r="177" spans="1:55" s="8" customFormat="1" ht="11.25" hidden="1">
      <c r="A177" s="19" t="s">
        <v>216</v>
      </c>
      <c r="B177" s="9" t="s">
        <v>272</v>
      </c>
      <c r="C177" s="9" t="s">
        <v>273</v>
      </c>
      <c r="D177" s="5"/>
      <c r="E177" s="1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1"/>
      <c r="Y177" s="5"/>
      <c r="Z177" s="5"/>
      <c r="AA177" s="5"/>
      <c r="AB177" s="5"/>
      <c r="AC177" s="5"/>
      <c r="AD177" s="5"/>
      <c r="AE177" s="5"/>
      <c r="AF177" s="5"/>
      <c r="AG177" s="5"/>
      <c r="AH177" s="13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>
        <f t="shared" si="7"/>
        <v>0</v>
      </c>
      <c r="BB177" s="28" t="s">
        <v>14</v>
      </c>
      <c r="BC177" s="5"/>
    </row>
    <row r="178" spans="1:55" s="8" customFormat="1" ht="11.25" hidden="1">
      <c r="A178" s="19" t="s">
        <v>217</v>
      </c>
      <c r="B178" s="9" t="s">
        <v>272</v>
      </c>
      <c r="C178" s="9" t="s">
        <v>274</v>
      </c>
      <c r="D178" s="5"/>
      <c r="E178" s="1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1"/>
      <c r="Y178" s="5"/>
      <c r="Z178" s="5"/>
      <c r="AA178" s="5"/>
      <c r="AB178" s="5"/>
      <c r="AC178" s="5"/>
      <c r="AD178" s="5"/>
      <c r="AE178" s="5"/>
      <c r="AF178" s="5"/>
      <c r="AG178" s="5"/>
      <c r="AH178" s="13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>
        <f t="shared" si="7"/>
        <v>0</v>
      </c>
      <c r="BB178" s="28" t="s">
        <v>14</v>
      </c>
      <c r="BC178" s="5"/>
    </row>
    <row r="179" spans="1:55" s="8" customFormat="1" ht="11.25" hidden="1">
      <c r="A179" s="19" t="s">
        <v>218</v>
      </c>
      <c r="B179" s="9" t="s">
        <v>272</v>
      </c>
      <c r="C179" s="9" t="s">
        <v>41</v>
      </c>
      <c r="D179" s="5"/>
      <c r="E179" s="1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11"/>
      <c r="Y179" s="5"/>
      <c r="Z179" s="5"/>
      <c r="AA179" s="5"/>
      <c r="AB179" s="5"/>
      <c r="AC179" s="5"/>
      <c r="AD179" s="5"/>
      <c r="AE179" s="5"/>
      <c r="AF179" s="5"/>
      <c r="AG179" s="5"/>
      <c r="AH179" s="13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>
        <f t="shared" si="7"/>
        <v>0</v>
      </c>
      <c r="BB179" s="28" t="s">
        <v>14</v>
      </c>
      <c r="BC179" s="5"/>
    </row>
    <row r="180" spans="1:55" s="8" customFormat="1" ht="11.25" hidden="1">
      <c r="A180" s="19" t="s">
        <v>219</v>
      </c>
      <c r="B180" s="9" t="s">
        <v>272</v>
      </c>
      <c r="C180" s="9" t="s">
        <v>275</v>
      </c>
      <c r="D180" s="5"/>
      <c r="E180" s="1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11"/>
      <c r="Y180" s="5"/>
      <c r="Z180" s="5"/>
      <c r="AA180" s="5"/>
      <c r="AB180" s="5"/>
      <c r="AC180" s="5"/>
      <c r="AD180" s="5"/>
      <c r="AE180" s="5"/>
      <c r="AF180" s="5"/>
      <c r="AG180" s="5"/>
      <c r="AH180" s="13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>
        <f t="shared" si="7"/>
        <v>0</v>
      </c>
      <c r="BB180" s="28" t="s">
        <v>14</v>
      </c>
      <c r="BC180" s="5"/>
    </row>
    <row r="181" spans="1:55" s="8" customFormat="1" ht="11.25">
      <c r="A181" s="19" t="s">
        <v>199</v>
      </c>
      <c r="B181" s="9" t="s">
        <v>272</v>
      </c>
      <c r="C181" s="9" t="s">
        <v>277</v>
      </c>
      <c r="D181" s="5"/>
      <c r="E181" s="1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1"/>
      <c r="Y181" s="5"/>
      <c r="Z181" s="5"/>
      <c r="AA181" s="5"/>
      <c r="AB181" s="5"/>
      <c r="AC181" s="5"/>
      <c r="AD181" s="5"/>
      <c r="AE181" s="5"/>
      <c r="AF181" s="5"/>
      <c r="AG181" s="5"/>
      <c r="AH181" s="13"/>
      <c r="AI181" s="5"/>
      <c r="AJ181" s="5"/>
      <c r="AK181" s="5"/>
      <c r="AL181" s="5"/>
      <c r="AM181" s="5"/>
      <c r="AN181" s="5"/>
      <c r="AO181" s="5"/>
      <c r="AP181" s="5"/>
      <c r="AQ181" s="5">
        <v>6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>
        <f t="shared" si="7"/>
        <v>6</v>
      </c>
      <c r="BB181" s="28" t="s">
        <v>14</v>
      </c>
      <c r="BC181" s="5"/>
    </row>
    <row r="182" spans="1:55" s="8" customFormat="1" ht="11.25">
      <c r="A182" s="19" t="s">
        <v>200</v>
      </c>
      <c r="B182" s="9" t="s">
        <v>272</v>
      </c>
      <c r="C182" s="9" t="s">
        <v>278</v>
      </c>
      <c r="D182" s="5"/>
      <c r="E182" s="1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1"/>
      <c r="Y182" s="5"/>
      <c r="Z182" s="5"/>
      <c r="AA182" s="5"/>
      <c r="AB182" s="5"/>
      <c r="AC182" s="5"/>
      <c r="AD182" s="5"/>
      <c r="AE182" s="5"/>
      <c r="AF182" s="5"/>
      <c r="AG182" s="5"/>
      <c r="AH182" s="13"/>
      <c r="AI182" s="5"/>
      <c r="AJ182" s="5"/>
      <c r="AK182" s="5"/>
      <c r="AL182" s="5"/>
      <c r="AM182" s="5"/>
      <c r="AN182" s="5"/>
      <c r="AO182" s="5"/>
      <c r="AP182" s="5"/>
      <c r="AQ182" s="5">
        <v>6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>
        <f t="shared" si="7"/>
        <v>6</v>
      </c>
      <c r="BB182" s="28" t="s">
        <v>14</v>
      </c>
      <c r="BC182" s="5"/>
    </row>
    <row r="183" spans="1:55" s="8" customFormat="1" ht="11.25">
      <c r="A183" s="19" t="s">
        <v>201</v>
      </c>
      <c r="B183" s="9" t="s">
        <v>272</v>
      </c>
      <c r="C183" s="9" t="s">
        <v>279</v>
      </c>
      <c r="D183" s="5"/>
      <c r="E183" s="1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1"/>
      <c r="Y183" s="5"/>
      <c r="Z183" s="5"/>
      <c r="AA183" s="5"/>
      <c r="AB183" s="5"/>
      <c r="AC183" s="5"/>
      <c r="AD183" s="5"/>
      <c r="AE183" s="5"/>
      <c r="AF183" s="5"/>
      <c r="AG183" s="5"/>
      <c r="AH183" s="13"/>
      <c r="AI183" s="5"/>
      <c r="AJ183" s="5"/>
      <c r="AK183" s="5"/>
      <c r="AL183" s="5"/>
      <c r="AM183" s="5"/>
      <c r="AN183" s="5"/>
      <c r="AO183" s="5"/>
      <c r="AP183" s="5"/>
      <c r="AQ183" s="5">
        <v>10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>
        <f t="shared" si="7"/>
        <v>10</v>
      </c>
      <c r="BB183" s="28" t="s">
        <v>14</v>
      </c>
      <c r="BC183" s="5"/>
    </row>
    <row r="184" spans="1:55" s="8" customFormat="1" ht="11.25">
      <c r="A184" s="19" t="s">
        <v>202</v>
      </c>
      <c r="B184" s="9" t="s">
        <v>272</v>
      </c>
      <c r="C184" s="9" t="s">
        <v>280</v>
      </c>
      <c r="D184" s="5"/>
      <c r="E184" s="13">
        <v>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1"/>
      <c r="Y184" s="5"/>
      <c r="Z184" s="5"/>
      <c r="AA184" s="5"/>
      <c r="AB184" s="5"/>
      <c r="AC184" s="5"/>
      <c r="AD184" s="5"/>
      <c r="AE184" s="5"/>
      <c r="AF184" s="5"/>
      <c r="AG184" s="5"/>
      <c r="AH184" s="13"/>
      <c r="AI184" s="5"/>
      <c r="AJ184" s="5"/>
      <c r="AK184" s="5"/>
      <c r="AL184" s="5"/>
      <c r="AM184" s="5"/>
      <c r="AN184" s="5">
        <v>10</v>
      </c>
      <c r="AO184" s="5">
        <v>20</v>
      </c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>
        <f t="shared" si="7"/>
        <v>35</v>
      </c>
      <c r="BB184" s="28" t="s">
        <v>14</v>
      </c>
      <c r="BC184" s="5"/>
    </row>
    <row r="185" spans="1:55" s="8" customFormat="1" ht="11.25">
      <c r="A185" s="19" t="s">
        <v>203</v>
      </c>
      <c r="B185" s="9" t="s">
        <v>103</v>
      </c>
      <c r="C185" s="9" t="s">
        <v>104</v>
      </c>
      <c r="D185" s="5">
        <v>10</v>
      </c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1"/>
      <c r="Y185" s="5"/>
      <c r="Z185" s="5"/>
      <c r="AA185" s="5"/>
      <c r="AB185" s="5"/>
      <c r="AC185" s="5"/>
      <c r="AD185" s="5"/>
      <c r="AE185" s="5"/>
      <c r="AF185" s="5"/>
      <c r="AG185" s="5"/>
      <c r="AH185" s="13"/>
      <c r="AI185" s="5"/>
      <c r="AJ185" s="5"/>
      <c r="AK185" s="5"/>
      <c r="AL185" s="5"/>
      <c r="AM185" s="5">
        <v>20</v>
      </c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>
        <f t="shared" si="7"/>
        <v>30</v>
      </c>
      <c r="BB185" s="28" t="s">
        <v>14</v>
      </c>
      <c r="BC185" s="5"/>
    </row>
    <row r="186" spans="1:55" s="8" customFormat="1" ht="11.25">
      <c r="A186" s="19" t="s">
        <v>204</v>
      </c>
      <c r="B186" s="9" t="s">
        <v>103</v>
      </c>
      <c r="C186" s="9" t="s">
        <v>105</v>
      </c>
      <c r="D186" s="5">
        <v>20</v>
      </c>
      <c r="E186" s="1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1"/>
      <c r="Y186" s="5"/>
      <c r="Z186" s="5"/>
      <c r="AA186" s="5"/>
      <c r="AB186" s="5"/>
      <c r="AC186" s="5"/>
      <c r="AD186" s="5"/>
      <c r="AE186" s="5"/>
      <c r="AF186" s="5"/>
      <c r="AG186" s="5"/>
      <c r="AH186" s="13"/>
      <c r="AI186" s="5"/>
      <c r="AJ186" s="5"/>
      <c r="AK186" s="5"/>
      <c r="AL186" s="5"/>
      <c r="AM186" s="5">
        <v>20</v>
      </c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>
        <f t="shared" si="7"/>
        <v>40</v>
      </c>
      <c r="BB186" s="28" t="s">
        <v>14</v>
      </c>
      <c r="BC186" s="5"/>
    </row>
    <row r="187" spans="1:55" s="8" customFormat="1" ht="11.25">
      <c r="A187" s="19" t="s">
        <v>205</v>
      </c>
      <c r="B187" s="9" t="s">
        <v>103</v>
      </c>
      <c r="C187" s="9" t="s">
        <v>106</v>
      </c>
      <c r="D187" s="5">
        <v>10</v>
      </c>
      <c r="E187" s="1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1"/>
      <c r="Y187" s="5"/>
      <c r="Z187" s="5"/>
      <c r="AA187" s="5"/>
      <c r="AB187" s="5"/>
      <c r="AC187" s="5"/>
      <c r="AD187" s="5"/>
      <c r="AE187" s="5"/>
      <c r="AF187" s="5"/>
      <c r="AG187" s="5"/>
      <c r="AH187" s="13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>
        <f t="shared" si="7"/>
        <v>10</v>
      </c>
      <c r="BB187" s="28" t="s">
        <v>14</v>
      </c>
      <c r="BC187" s="5"/>
    </row>
    <row r="188" spans="1:55" s="8" customFormat="1" ht="11.25">
      <c r="A188" s="19" t="s">
        <v>206</v>
      </c>
      <c r="B188" s="9" t="s">
        <v>129</v>
      </c>
      <c r="C188" s="9" t="s">
        <v>130</v>
      </c>
      <c r="D188" s="5">
        <v>30</v>
      </c>
      <c r="E188" s="1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1"/>
      <c r="Y188" s="5"/>
      <c r="Z188" s="5"/>
      <c r="AA188" s="5"/>
      <c r="AB188" s="5"/>
      <c r="AC188" s="5"/>
      <c r="AD188" s="5"/>
      <c r="AE188" s="5"/>
      <c r="AF188" s="5"/>
      <c r="AG188" s="5"/>
      <c r="AH188" s="13"/>
      <c r="AI188" s="5"/>
      <c r="AJ188" s="5"/>
      <c r="AK188" s="5"/>
      <c r="AL188" s="5"/>
      <c r="AM188" s="5">
        <v>50</v>
      </c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>
        <f t="shared" si="7"/>
        <v>80</v>
      </c>
      <c r="BB188" s="28" t="s">
        <v>14</v>
      </c>
      <c r="BC188" s="5"/>
    </row>
    <row r="189" spans="1:55" s="8" customFormat="1" ht="11.25">
      <c r="A189" s="19" t="s">
        <v>207</v>
      </c>
      <c r="B189" s="9" t="s">
        <v>110</v>
      </c>
      <c r="C189" s="9" t="s">
        <v>107</v>
      </c>
      <c r="D189" s="5">
        <v>30</v>
      </c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1"/>
      <c r="Y189" s="5"/>
      <c r="Z189" s="5"/>
      <c r="AA189" s="5"/>
      <c r="AB189" s="5"/>
      <c r="AC189" s="5"/>
      <c r="AD189" s="5"/>
      <c r="AE189" s="5"/>
      <c r="AF189" s="5"/>
      <c r="AG189" s="5"/>
      <c r="AH189" s="13"/>
      <c r="AI189" s="5"/>
      <c r="AJ189" s="5"/>
      <c r="AK189" s="5"/>
      <c r="AL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>
        <f t="shared" si="7"/>
        <v>30</v>
      </c>
      <c r="BB189" s="28" t="s">
        <v>14</v>
      </c>
      <c r="BC189" s="5"/>
    </row>
    <row r="190" spans="1:55" s="8" customFormat="1" ht="11.25">
      <c r="A190" s="19" t="s">
        <v>208</v>
      </c>
      <c r="B190" s="8" t="s">
        <v>54</v>
      </c>
      <c r="D190" s="5">
        <v>3</v>
      </c>
      <c r="E190" s="5"/>
      <c r="F190" s="5"/>
      <c r="G190" s="5"/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1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>
        <v>50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>
        <v>2</v>
      </c>
      <c r="AZ190" s="5"/>
      <c r="BA190" s="5">
        <f t="shared" si="7"/>
        <v>57</v>
      </c>
      <c r="BB190" s="28" t="s">
        <v>20</v>
      </c>
      <c r="BC190" s="5"/>
    </row>
    <row r="191" spans="1:55" s="9" customFormat="1" ht="11.25" hidden="1">
      <c r="A191" s="19" t="s">
        <v>224</v>
      </c>
      <c r="B191" s="9" t="str">
        <f>"RAKTÁRI KÉSZLETNYILVÁNTARTÓ"</f>
        <v>RAKTÁRI KÉSZLETNYILVÁNTARTÓ</v>
      </c>
      <c r="C191" s="9" t="str">
        <f>"B.12-152"</f>
        <v>B.12-152</v>
      </c>
      <c r="D191" s="4"/>
      <c r="E191" s="1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0"/>
      <c r="Y191" s="4"/>
      <c r="Z191" s="4"/>
      <c r="AA191" s="4"/>
      <c r="AB191" s="4"/>
      <c r="AC191" s="4"/>
      <c r="AD191" s="4"/>
      <c r="AE191" s="4"/>
      <c r="AF191" s="4"/>
      <c r="AG191" s="4"/>
      <c r="AH191" s="13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5">
        <f t="shared" si="7"/>
        <v>0</v>
      </c>
      <c r="BB191" s="27"/>
      <c r="BC191" s="4"/>
    </row>
    <row r="192" spans="1:55" s="9" customFormat="1" ht="11.25" hidden="1">
      <c r="A192" s="19" t="s">
        <v>225</v>
      </c>
      <c r="B192" s="9" t="s">
        <v>1</v>
      </c>
      <c r="C192" s="9" t="s">
        <v>4</v>
      </c>
      <c r="D192" s="4"/>
      <c r="E192" s="1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0"/>
      <c r="Y192" s="4"/>
      <c r="Z192" s="4"/>
      <c r="AA192" s="4"/>
      <c r="AB192" s="4"/>
      <c r="AC192" s="4"/>
      <c r="AD192" s="4"/>
      <c r="AE192" s="4"/>
      <c r="AF192" s="4"/>
      <c r="AG192" s="4"/>
      <c r="AH192" s="13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5"/>
      <c r="AY192" s="4"/>
      <c r="AZ192" s="4"/>
      <c r="BA192" s="5">
        <f t="shared" si="7"/>
        <v>0</v>
      </c>
      <c r="BB192" s="28" t="s">
        <v>14</v>
      </c>
      <c r="BC192" s="4"/>
    </row>
    <row r="193" spans="1:55" s="9" customFormat="1" ht="11.25" hidden="1">
      <c r="A193" s="19" t="s">
        <v>226</v>
      </c>
      <c r="B193" s="9" t="s">
        <v>65</v>
      </c>
      <c r="C193" s="9" t="str">
        <f>"PENTEL"</f>
        <v>PENTEL</v>
      </c>
      <c r="D193" s="4"/>
      <c r="E193" s="1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0"/>
      <c r="Y193" s="4"/>
      <c r="Z193" s="4"/>
      <c r="AA193" s="4"/>
      <c r="AB193" s="4"/>
      <c r="AC193" s="4"/>
      <c r="AD193" s="4"/>
      <c r="AE193" s="4"/>
      <c r="AF193" s="4"/>
      <c r="AG193" s="4"/>
      <c r="AH193" s="13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5">
        <f t="shared" si="7"/>
        <v>0</v>
      </c>
      <c r="BB193" s="28" t="s">
        <v>14</v>
      </c>
      <c r="BC193" s="4"/>
    </row>
    <row r="194" spans="1:57" s="9" customFormat="1" ht="11.25" hidden="1">
      <c r="A194" s="19" t="s">
        <v>227</v>
      </c>
      <c r="B194" s="9" t="s">
        <v>65</v>
      </c>
      <c r="C194" s="9" t="str">
        <f>"ULTRA FINE 3"</f>
        <v>ULTRA FINE 3</v>
      </c>
      <c r="D194" s="4"/>
      <c r="E194" s="1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0"/>
      <c r="Y194" s="4"/>
      <c r="Z194" s="4"/>
      <c r="AA194" s="4"/>
      <c r="AB194" s="4"/>
      <c r="AC194" s="4"/>
      <c r="AD194" s="4"/>
      <c r="AE194" s="4"/>
      <c r="AF194" s="4"/>
      <c r="AG194" s="4"/>
      <c r="AH194" s="13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5">
        <f aca="true" t="shared" si="8" ref="BA194:BA235">SUM(D194:AZ194)</f>
        <v>0</v>
      </c>
      <c r="BB194" s="28" t="s">
        <v>14</v>
      </c>
      <c r="BC194" s="4"/>
      <c r="BE194" s="8"/>
    </row>
    <row r="195" spans="1:55" s="8" customFormat="1" ht="11.25" hidden="1">
      <c r="A195" s="19" t="s">
        <v>228</v>
      </c>
      <c r="B195" s="9" t="s">
        <v>65</v>
      </c>
      <c r="C195" s="9" t="str">
        <f>"18X25 MM"</f>
        <v>18X25 MM</v>
      </c>
      <c r="D195" s="5"/>
      <c r="E195" s="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1"/>
      <c r="Y195" s="5"/>
      <c r="Z195" s="5"/>
      <c r="AA195" s="5"/>
      <c r="AB195" s="5"/>
      <c r="AC195" s="5"/>
      <c r="AD195" s="5"/>
      <c r="AE195" s="5"/>
      <c r="AF195" s="5"/>
      <c r="AG195" s="5"/>
      <c r="AH195" s="13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>
        <f t="shared" si="8"/>
        <v>0</v>
      </c>
      <c r="BB195" s="28" t="s">
        <v>14</v>
      </c>
      <c r="BC195" s="5"/>
    </row>
    <row r="196" spans="1:57" s="8" customFormat="1" ht="11.25" hidden="1">
      <c r="A196" s="19" t="s">
        <v>229</v>
      </c>
      <c r="B196" s="9" t="s">
        <v>65</v>
      </c>
      <c r="C196" s="9" t="str">
        <f>"20X32 MM"</f>
        <v>20X32 MM</v>
      </c>
      <c r="D196" s="5"/>
      <c r="E196" s="1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1"/>
      <c r="Y196" s="5"/>
      <c r="Z196" s="5"/>
      <c r="AA196" s="5"/>
      <c r="AB196" s="5"/>
      <c r="AC196" s="5"/>
      <c r="AD196" s="5"/>
      <c r="AE196" s="5"/>
      <c r="AF196" s="5"/>
      <c r="AG196" s="5"/>
      <c r="AH196" s="13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>
        <f t="shared" si="8"/>
        <v>0</v>
      </c>
      <c r="BB196" s="28" t="s">
        <v>14</v>
      </c>
      <c r="BC196" s="5"/>
      <c r="BE196" s="9"/>
    </row>
    <row r="197" spans="1:57" s="9" customFormat="1" ht="11.25" hidden="1">
      <c r="A197" s="19" t="s">
        <v>230</v>
      </c>
      <c r="B197" s="9" t="s">
        <v>65</v>
      </c>
      <c r="C197" s="9" t="str">
        <f>"PÁTRIA"</f>
        <v>PÁTRIA</v>
      </c>
      <c r="D197" s="4"/>
      <c r="E197" s="1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0"/>
      <c r="Y197" s="4"/>
      <c r="Z197" s="4"/>
      <c r="AA197" s="4"/>
      <c r="AB197" s="4"/>
      <c r="AC197" s="4"/>
      <c r="AD197" s="4"/>
      <c r="AE197" s="4"/>
      <c r="AF197" s="4"/>
      <c r="AG197" s="4"/>
      <c r="AH197" s="13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5">
        <f t="shared" si="8"/>
        <v>0</v>
      </c>
      <c r="BB197" s="28" t="s">
        <v>14</v>
      </c>
      <c r="BC197" s="4"/>
      <c r="BE197" s="8"/>
    </row>
    <row r="198" spans="1:55" s="8" customFormat="1" ht="11.25" hidden="1">
      <c r="A198" s="19" t="s">
        <v>231</v>
      </c>
      <c r="B198" s="9" t="s">
        <v>65</v>
      </c>
      <c r="C198" s="9"/>
      <c r="D198" s="5"/>
      <c r="E198" s="1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11"/>
      <c r="Y198" s="5"/>
      <c r="Z198" s="5"/>
      <c r="AA198" s="5"/>
      <c r="AB198" s="5"/>
      <c r="AC198" s="5"/>
      <c r="AD198" s="5"/>
      <c r="AE198" s="5"/>
      <c r="AF198" s="5"/>
      <c r="AG198" s="5"/>
      <c r="AH198" s="13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>
        <f t="shared" si="8"/>
        <v>0</v>
      </c>
      <c r="BB198" s="28" t="s">
        <v>14</v>
      </c>
      <c r="BC198" s="5"/>
    </row>
    <row r="199" spans="1:55" s="8" customFormat="1" ht="11.25">
      <c r="A199" s="19" t="s">
        <v>209</v>
      </c>
      <c r="B199" s="9" t="s">
        <v>132</v>
      </c>
      <c r="C199" s="9" t="s">
        <v>109</v>
      </c>
      <c r="D199" s="5"/>
      <c r="E199" s="13">
        <v>1</v>
      </c>
      <c r="F199" s="5">
        <v>2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1"/>
      <c r="Y199" s="5"/>
      <c r="Z199" s="5"/>
      <c r="AA199" s="5"/>
      <c r="AB199" s="5"/>
      <c r="AC199" s="5"/>
      <c r="AD199" s="5"/>
      <c r="AE199" s="5"/>
      <c r="AF199" s="5"/>
      <c r="AG199" s="5"/>
      <c r="AH199" s="13"/>
      <c r="AI199" s="5"/>
      <c r="AJ199" s="5"/>
      <c r="AK199" s="5"/>
      <c r="AL199" s="5"/>
      <c r="AM199" s="5"/>
      <c r="AN199" s="5">
        <v>1</v>
      </c>
      <c r="AO199" s="5"/>
      <c r="AP199" s="5"/>
      <c r="AQ199" s="5">
        <v>2</v>
      </c>
      <c r="AR199" s="5">
        <v>2</v>
      </c>
      <c r="AS199" s="5"/>
      <c r="AT199" s="5">
        <v>4</v>
      </c>
      <c r="AU199" s="5"/>
      <c r="AV199" s="5"/>
      <c r="AW199" s="5"/>
      <c r="AX199" s="5"/>
      <c r="AY199" s="5"/>
      <c r="AZ199" s="5"/>
      <c r="BA199" s="5">
        <f t="shared" si="8"/>
        <v>12</v>
      </c>
      <c r="BB199" s="28" t="s">
        <v>15</v>
      </c>
      <c r="BC199" s="5"/>
    </row>
    <row r="200" spans="1:55" s="8" customFormat="1" ht="11.25">
      <c r="A200" s="19" t="s">
        <v>210</v>
      </c>
      <c r="B200" s="9" t="s">
        <v>265</v>
      </c>
      <c r="C200" s="9" t="s">
        <v>266</v>
      </c>
      <c r="D200" s="5"/>
      <c r="E200" s="13"/>
      <c r="F200" s="5"/>
      <c r="G200" s="5"/>
      <c r="H200" s="5"/>
      <c r="I200" s="5">
        <v>1</v>
      </c>
      <c r="J200" s="5"/>
      <c r="K200" s="5"/>
      <c r="L200" s="5">
        <v>10</v>
      </c>
      <c r="M200" s="5"/>
      <c r="N200" s="5">
        <v>5</v>
      </c>
      <c r="O200" s="5"/>
      <c r="P200" s="5"/>
      <c r="Q200" s="5">
        <v>1</v>
      </c>
      <c r="R200" s="5"/>
      <c r="S200" s="5"/>
      <c r="T200" s="5"/>
      <c r="U200" s="5"/>
      <c r="V200" s="5"/>
      <c r="W200" s="5"/>
      <c r="X200" s="11"/>
      <c r="Y200" s="5"/>
      <c r="Z200" s="5"/>
      <c r="AA200" s="5"/>
      <c r="AB200" s="5"/>
      <c r="AC200" s="5"/>
      <c r="AD200" s="5"/>
      <c r="AE200" s="5"/>
      <c r="AF200" s="5"/>
      <c r="AG200" s="5"/>
      <c r="AH200" s="13"/>
      <c r="AI200" s="5"/>
      <c r="AJ200" s="5"/>
      <c r="AK200" s="5"/>
      <c r="AL200" s="5"/>
      <c r="AM200" s="5"/>
      <c r="AN200" s="5"/>
      <c r="AO200" s="5"/>
      <c r="AP200" s="5"/>
      <c r="AQ200" s="5">
        <v>2</v>
      </c>
      <c r="AR200" s="5">
        <v>2</v>
      </c>
      <c r="AS200" s="5"/>
      <c r="AT200" s="5">
        <v>2</v>
      </c>
      <c r="AU200" s="5"/>
      <c r="AV200" s="5"/>
      <c r="AW200" s="5"/>
      <c r="AX200" s="5"/>
      <c r="AY200" s="5"/>
      <c r="AZ200" s="5"/>
      <c r="BA200" s="5">
        <f t="shared" si="8"/>
        <v>23</v>
      </c>
      <c r="BB200" s="28" t="s">
        <v>15</v>
      </c>
      <c r="BC200" s="5"/>
    </row>
    <row r="201" spans="1:55" s="8" customFormat="1" ht="11.25">
      <c r="A201" s="19" t="s">
        <v>211</v>
      </c>
      <c r="B201" s="9" t="s">
        <v>108</v>
      </c>
      <c r="C201" s="9" t="s">
        <v>93</v>
      </c>
      <c r="D201" s="5"/>
      <c r="E201" s="13"/>
      <c r="F201" s="5"/>
      <c r="G201" s="5"/>
      <c r="H201" s="5"/>
      <c r="I201" s="5"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1"/>
      <c r="Y201" s="5"/>
      <c r="Z201" s="5"/>
      <c r="AA201" s="5"/>
      <c r="AB201" s="5"/>
      <c r="AC201" s="5"/>
      <c r="AD201" s="5"/>
      <c r="AE201" s="5"/>
      <c r="AF201" s="5"/>
      <c r="AG201" s="5"/>
      <c r="AH201" s="13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>
        <f t="shared" si="8"/>
        <v>1</v>
      </c>
      <c r="BB201" s="28" t="s">
        <v>14</v>
      </c>
      <c r="BC201" s="5"/>
    </row>
    <row r="202" spans="1:55" s="8" customFormat="1" ht="11.25">
      <c r="A202" s="19" t="s">
        <v>212</v>
      </c>
      <c r="B202" s="9" t="s">
        <v>65</v>
      </c>
      <c r="C202" s="9" t="s">
        <v>94</v>
      </c>
      <c r="D202" s="5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11"/>
      <c r="Y202" s="5"/>
      <c r="Z202" s="5"/>
      <c r="AA202" s="5"/>
      <c r="AB202" s="5"/>
      <c r="AC202" s="5"/>
      <c r="AD202" s="5"/>
      <c r="AE202" s="5"/>
      <c r="AF202" s="5"/>
      <c r="AG202" s="5"/>
      <c r="AH202" s="13"/>
      <c r="AI202" s="5"/>
      <c r="AJ202" s="5"/>
      <c r="AK202" s="5"/>
      <c r="AL202" s="5"/>
      <c r="AM202" s="5"/>
      <c r="AN202" s="5"/>
      <c r="AO202" s="5"/>
      <c r="AP202" s="5">
        <v>1</v>
      </c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>
        <f t="shared" si="8"/>
        <v>1</v>
      </c>
      <c r="BB202" s="28" t="s">
        <v>14</v>
      </c>
      <c r="BC202" s="5"/>
    </row>
    <row r="203" spans="1:55" s="8" customFormat="1" ht="11.25">
      <c r="A203" s="19" t="s">
        <v>213</v>
      </c>
      <c r="B203" s="8" t="s">
        <v>56</v>
      </c>
      <c r="C203" s="8" t="s">
        <v>55</v>
      </c>
      <c r="D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v>1</v>
      </c>
      <c r="R203" s="5"/>
      <c r="S203" s="5"/>
      <c r="T203" s="5"/>
      <c r="U203" s="5"/>
      <c r="V203" s="5"/>
      <c r="W203" s="5"/>
      <c r="X203" s="11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>
        <v>4</v>
      </c>
      <c r="AW203" s="5">
        <v>4</v>
      </c>
      <c r="AX203" s="5"/>
      <c r="AY203" s="5"/>
      <c r="AZ203" s="5"/>
      <c r="BA203" s="5">
        <f t="shared" si="8"/>
        <v>9</v>
      </c>
      <c r="BB203" s="28" t="s">
        <v>14</v>
      </c>
      <c r="BC203" s="5"/>
    </row>
    <row r="204" spans="1:55" s="9" customFormat="1" ht="11.25" hidden="1">
      <c r="A204" s="19" t="s">
        <v>230</v>
      </c>
      <c r="B204" s="8" t="s">
        <v>52</v>
      </c>
      <c r="C204" s="8" t="s">
        <v>53</v>
      </c>
      <c r="D204" s="4"/>
      <c r="E204" s="1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0"/>
      <c r="Y204" s="4"/>
      <c r="Z204" s="4"/>
      <c r="AA204" s="4"/>
      <c r="AB204" s="4"/>
      <c r="AC204" s="4"/>
      <c r="AD204" s="4"/>
      <c r="AE204" s="4"/>
      <c r="AF204" s="4"/>
      <c r="AG204" s="4"/>
      <c r="AH204" s="13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5">
        <f t="shared" si="8"/>
        <v>0</v>
      </c>
      <c r="BB204" s="28" t="s">
        <v>14</v>
      </c>
      <c r="BC204" s="4"/>
    </row>
    <row r="205" spans="1:55" s="9" customFormat="1" ht="11.25" hidden="1">
      <c r="A205" s="19" t="s">
        <v>231</v>
      </c>
      <c r="B205" s="8" t="s">
        <v>52</v>
      </c>
      <c r="C205" s="8" t="s">
        <v>53</v>
      </c>
      <c r="D205" s="4"/>
      <c r="E205" s="1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0"/>
      <c r="Y205" s="4"/>
      <c r="Z205" s="4"/>
      <c r="AA205" s="4"/>
      <c r="AB205" s="4"/>
      <c r="AC205" s="4"/>
      <c r="AD205" s="4"/>
      <c r="AE205" s="4"/>
      <c r="AF205" s="4"/>
      <c r="AG205" s="4"/>
      <c r="AH205" s="13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5">
        <f t="shared" si="8"/>
        <v>0</v>
      </c>
      <c r="BB205" s="28" t="s">
        <v>14</v>
      </c>
      <c r="BC205" s="4"/>
    </row>
    <row r="206" spans="1:57" s="9" customFormat="1" ht="11.25" hidden="1">
      <c r="A206" s="19" t="s">
        <v>232</v>
      </c>
      <c r="B206" s="8" t="s">
        <v>52</v>
      </c>
      <c r="C206" s="8" t="s">
        <v>53</v>
      </c>
      <c r="D206" s="4"/>
      <c r="E206" s="1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0"/>
      <c r="Y206" s="4"/>
      <c r="Z206" s="4"/>
      <c r="AA206" s="4"/>
      <c r="AB206" s="4"/>
      <c r="AC206" s="4"/>
      <c r="AD206" s="4"/>
      <c r="AE206" s="4"/>
      <c r="AF206" s="4"/>
      <c r="AG206" s="4"/>
      <c r="AH206" s="13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5">
        <f t="shared" si="8"/>
        <v>0</v>
      </c>
      <c r="BB206" s="28" t="s">
        <v>14</v>
      </c>
      <c r="BC206" s="4"/>
      <c r="BE206" s="8"/>
    </row>
    <row r="207" spans="1:57" s="8" customFormat="1" ht="11.25" hidden="1">
      <c r="A207" s="19" t="s">
        <v>233</v>
      </c>
      <c r="B207" s="8" t="s">
        <v>52</v>
      </c>
      <c r="C207" s="8" t="s">
        <v>53</v>
      </c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11"/>
      <c r="Y207" s="5"/>
      <c r="Z207" s="5"/>
      <c r="AA207" s="5"/>
      <c r="AB207" s="5"/>
      <c r="AC207" s="5"/>
      <c r="AD207" s="5"/>
      <c r="AE207" s="5"/>
      <c r="AF207" s="5"/>
      <c r="AG207" s="5"/>
      <c r="AH207" s="13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>
        <f t="shared" si="8"/>
        <v>0</v>
      </c>
      <c r="BB207" s="28" t="s">
        <v>14</v>
      </c>
      <c r="BC207" s="5"/>
      <c r="BE207" s="9"/>
    </row>
    <row r="208" spans="1:57" s="8" customFormat="1" ht="11.25">
      <c r="A208" s="19" t="s">
        <v>214</v>
      </c>
      <c r="B208" s="8" t="s">
        <v>56</v>
      </c>
      <c r="C208" s="8" t="s">
        <v>124</v>
      </c>
      <c r="D208" s="16"/>
      <c r="E208" s="16">
        <v>1</v>
      </c>
      <c r="F208" s="16"/>
      <c r="G208" s="16"/>
      <c r="H208" s="16"/>
      <c r="I208" s="16"/>
      <c r="J208" s="16"/>
      <c r="K208" s="16"/>
      <c r="L208" s="5">
        <v>10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11"/>
      <c r="Y208" s="5"/>
      <c r="Z208" s="5"/>
      <c r="AA208" s="5"/>
      <c r="AB208" s="5"/>
      <c r="AC208" s="5"/>
      <c r="AD208" s="5"/>
      <c r="AE208" s="5"/>
      <c r="AF208" s="5"/>
      <c r="AG208" s="5"/>
      <c r="AH208" s="13"/>
      <c r="AI208" s="5"/>
      <c r="AJ208" s="5"/>
      <c r="AK208" s="5"/>
      <c r="AL208" s="5"/>
      <c r="AM208" s="16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>
        <f t="shared" si="8"/>
        <v>11</v>
      </c>
      <c r="BB208" s="28" t="s">
        <v>14</v>
      </c>
      <c r="BC208" s="5"/>
      <c r="BE208" s="9"/>
    </row>
    <row r="209" spans="1:57" s="8" customFormat="1" ht="11.25">
      <c r="A209" s="19" t="s">
        <v>215</v>
      </c>
      <c r="B209" s="8" t="s">
        <v>56</v>
      </c>
      <c r="C209" s="8" t="s">
        <v>125</v>
      </c>
      <c r="D209" s="5"/>
      <c r="E209" s="13"/>
      <c r="F209" s="5"/>
      <c r="G209" s="5">
        <v>5</v>
      </c>
      <c r="H209" s="5"/>
      <c r="I209" s="5"/>
      <c r="J209" s="5"/>
      <c r="K209" s="5"/>
      <c r="L209" s="5"/>
      <c r="M209" s="5"/>
      <c r="N209" s="5"/>
      <c r="O209" s="5"/>
      <c r="P209" s="5"/>
      <c r="Q209" s="5">
        <v>1</v>
      </c>
      <c r="R209" s="5"/>
      <c r="S209" s="5"/>
      <c r="T209" s="5"/>
      <c r="U209" s="5"/>
      <c r="V209" s="5"/>
      <c r="W209" s="5"/>
      <c r="X209" s="11"/>
      <c r="Y209" s="5"/>
      <c r="Z209" s="5"/>
      <c r="AA209" s="5"/>
      <c r="AB209" s="5"/>
      <c r="AC209" s="5"/>
      <c r="AD209" s="5"/>
      <c r="AE209" s="5"/>
      <c r="AF209" s="5"/>
      <c r="AG209" s="5"/>
      <c r="AH209" s="13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>
        <f t="shared" si="8"/>
        <v>6</v>
      </c>
      <c r="BB209" s="28" t="s">
        <v>14</v>
      </c>
      <c r="BC209" s="5"/>
      <c r="BE209" s="9"/>
    </row>
    <row r="210" spans="1:55" s="8" customFormat="1" ht="11.25">
      <c r="A210" s="19" t="s">
        <v>216</v>
      </c>
      <c r="B210" s="9" t="str">
        <f>"RADÍR"</f>
        <v>RADÍR</v>
      </c>
      <c r="C210" s="9" t="str">
        <f>"TIKKY 20"</f>
        <v>TIKKY 20</v>
      </c>
      <c r="D210" s="5"/>
      <c r="E210" s="13"/>
      <c r="F210" s="5"/>
      <c r="G210" s="5"/>
      <c r="H210" s="5">
        <v>1</v>
      </c>
      <c r="I210" s="5"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1</v>
      </c>
      <c r="X210" s="11"/>
      <c r="Y210" s="5"/>
      <c r="Z210" s="5"/>
      <c r="AA210" s="5"/>
      <c r="AB210" s="5"/>
      <c r="AC210" s="5"/>
      <c r="AD210" s="5"/>
      <c r="AE210" s="5"/>
      <c r="AF210" s="5"/>
      <c r="AG210" s="5"/>
      <c r="AH210" s="13"/>
      <c r="AI210" s="5"/>
      <c r="AJ210" s="5"/>
      <c r="AK210" s="5"/>
      <c r="AL210" s="5"/>
      <c r="AM210" s="5"/>
      <c r="AN210" s="5">
        <v>1</v>
      </c>
      <c r="AO210" s="5"/>
      <c r="AP210" s="5">
        <v>1</v>
      </c>
      <c r="AQ210" s="5">
        <v>1</v>
      </c>
      <c r="AR210" s="5">
        <v>1</v>
      </c>
      <c r="AS210" s="5"/>
      <c r="AT210" s="5"/>
      <c r="AU210" s="5"/>
      <c r="AV210" s="5"/>
      <c r="AW210" s="5"/>
      <c r="AX210" s="5"/>
      <c r="AY210" s="5"/>
      <c r="AZ210" s="5"/>
      <c r="BA210" s="5">
        <f t="shared" si="8"/>
        <v>8</v>
      </c>
      <c r="BB210" s="28" t="s">
        <v>14</v>
      </c>
      <c r="BC210" s="5"/>
    </row>
    <row r="211" spans="1:57" s="9" customFormat="1" ht="11.25">
      <c r="A211" s="19" t="s">
        <v>217</v>
      </c>
      <c r="B211" s="9" t="s">
        <v>88</v>
      </c>
      <c r="D211" s="5">
        <v>10</v>
      </c>
      <c r="E211" s="13"/>
      <c r="F211" s="5"/>
      <c r="G211" s="5"/>
      <c r="H211" s="5">
        <v>1</v>
      </c>
      <c r="I211" s="5"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>
        <v>3</v>
      </c>
      <c r="X211" s="11"/>
      <c r="Y211" s="5"/>
      <c r="Z211" s="5"/>
      <c r="AA211" s="5"/>
      <c r="AB211" s="5"/>
      <c r="AC211" s="5"/>
      <c r="AD211" s="5"/>
      <c r="AE211" s="5"/>
      <c r="AF211" s="5"/>
      <c r="AG211" s="5"/>
      <c r="AH211" s="13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>
        <f t="shared" si="8"/>
        <v>15</v>
      </c>
      <c r="BB211" s="28" t="s">
        <v>14</v>
      </c>
      <c r="BC211" s="4"/>
      <c r="BE211" s="8"/>
    </row>
    <row r="212" spans="1:55" s="8" customFormat="1" ht="11.25" hidden="1">
      <c r="A212" s="19" t="s">
        <v>234</v>
      </c>
      <c r="B212" s="9" t="str">
        <f>"TÁBLATŰ"</f>
        <v>TÁBLATŰ</v>
      </c>
      <c r="C212" s="9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1"/>
      <c r="Y212" s="5"/>
      <c r="Z212" s="5"/>
      <c r="AA212" s="5"/>
      <c r="AB212" s="5"/>
      <c r="AC212" s="5"/>
      <c r="AD212" s="5"/>
      <c r="AE212" s="5"/>
      <c r="AF212" s="5"/>
      <c r="AG212" s="5"/>
      <c r="AH212" s="13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>
        <f t="shared" si="8"/>
        <v>0</v>
      </c>
      <c r="BB212" s="28"/>
      <c r="BC212" s="5"/>
    </row>
    <row r="213" spans="1:55" s="8" customFormat="1" ht="11.25" hidden="1">
      <c r="A213" s="19" t="s">
        <v>235</v>
      </c>
      <c r="B213" s="9" t="str">
        <f>"TASAK"</f>
        <v>TASAK</v>
      </c>
      <c r="C213" s="9"/>
      <c r="D213" s="5"/>
      <c r="E213" s="1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11"/>
      <c r="Y213" s="5"/>
      <c r="Z213" s="5"/>
      <c r="AA213" s="5"/>
      <c r="AB213" s="5"/>
      <c r="AC213" s="5"/>
      <c r="AD213" s="5"/>
      <c r="AE213" s="5"/>
      <c r="AF213" s="5"/>
      <c r="AG213" s="5"/>
      <c r="AH213" s="13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>
        <f t="shared" si="8"/>
        <v>0</v>
      </c>
      <c r="BB213" s="28"/>
      <c r="BC213" s="5"/>
    </row>
    <row r="214" spans="1:55" s="8" customFormat="1" ht="11.25" hidden="1">
      <c r="A214" s="19" t="s">
        <v>236</v>
      </c>
      <c r="B214" s="9" t="str">
        <f>"TASAK (CIPZÁRAS)"</f>
        <v>TASAK (CIPZÁRAS)</v>
      </c>
      <c r="C214" s="9" t="str">
        <f>"A/4"</f>
        <v>A/4</v>
      </c>
      <c r="D214" s="5"/>
      <c r="E214" s="1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11"/>
      <c r="Y214" s="5"/>
      <c r="Z214" s="5"/>
      <c r="AA214" s="5"/>
      <c r="AB214" s="5"/>
      <c r="AC214" s="5"/>
      <c r="AD214" s="5"/>
      <c r="AE214" s="5"/>
      <c r="AF214" s="5"/>
      <c r="AG214" s="5"/>
      <c r="AH214" s="13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>
        <f t="shared" si="8"/>
        <v>0</v>
      </c>
      <c r="BB214" s="28"/>
      <c r="BC214" s="5"/>
    </row>
    <row r="215" spans="1:57" s="8" customFormat="1" ht="11.25" hidden="1">
      <c r="A215" s="19" t="s">
        <v>237</v>
      </c>
      <c r="B215" s="9" t="str">
        <f>"TASAK (CIPZÁRAS)"</f>
        <v>TASAK (CIPZÁRAS)</v>
      </c>
      <c r="C215" s="9" t="str">
        <f>"A/5"</f>
        <v>A/5</v>
      </c>
      <c r="D215" s="5"/>
      <c r="E215" s="1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11"/>
      <c r="Y215" s="5"/>
      <c r="Z215" s="5"/>
      <c r="AA215" s="5"/>
      <c r="AB215" s="5"/>
      <c r="AC215" s="5"/>
      <c r="AD215" s="5"/>
      <c r="AE215" s="5"/>
      <c r="AF215" s="5"/>
      <c r="AG215" s="5"/>
      <c r="AH215" s="13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>
        <f t="shared" si="8"/>
        <v>0</v>
      </c>
      <c r="BB215" s="28"/>
      <c r="BC215" s="5"/>
      <c r="BE215" s="9"/>
    </row>
    <row r="216" spans="1:57" s="9" customFormat="1" ht="11.25" hidden="1">
      <c r="A216" s="19" t="s">
        <v>238</v>
      </c>
      <c r="B216" s="9" t="str">
        <f>"TB NAPTÁR"</f>
        <v>TB NAPTÁR</v>
      </c>
      <c r="D216" s="4"/>
      <c r="E216" s="1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0"/>
      <c r="Y216" s="4"/>
      <c r="Z216" s="4"/>
      <c r="AA216" s="4"/>
      <c r="AB216" s="4"/>
      <c r="AC216" s="4"/>
      <c r="AD216" s="4"/>
      <c r="AE216" s="4"/>
      <c r="AF216" s="4"/>
      <c r="AG216" s="4"/>
      <c r="AH216" s="13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5">
        <f t="shared" si="8"/>
        <v>0</v>
      </c>
      <c r="BB216" s="27"/>
      <c r="BC216" s="4"/>
      <c r="BE216" s="8"/>
    </row>
    <row r="217" spans="1:55" s="8" customFormat="1" ht="11.25" hidden="1">
      <c r="A217" s="19" t="s">
        <v>239</v>
      </c>
      <c r="B217" s="9" t="str">
        <f>"TELEFONBLOKK"</f>
        <v>TELEFONBLOKK</v>
      </c>
      <c r="C217" s="9"/>
      <c r="D217" s="5"/>
      <c r="E217" s="1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1"/>
      <c r="Y217" s="5"/>
      <c r="Z217" s="5"/>
      <c r="AA217" s="5"/>
      <c r="AB217" s="5"/>
      <c r="AC217" s="5"/>
      <c r="AD217" s="5"/>
      <c r="AE217" s="5"/>
      <c r="AF217" s="5"/>
      <c r="AG217" s="5"/>
      <c r="AH217" s="13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>
        <f t="shared" si="8"/>
        <v>0</v>
      </c>
      <c r="BB217" s="28"/>
      <c r="BC217" s="5"/>
    </row>
    <row r="218" spans="1:55" s="8" customFormat="1" ht="11.25" hidden="1">
      <c r="A218" s="19" t="s">
        <v>240</v>
      </c>
      <c r="B218" s="9" t="str">
        <f>"TÉPŐTÖMB (FEHÉR)"</f>
        <v>TÉPŐTÖMB (FEHÉR)</v>
      </c>
      <c r="C218" s="9" t="str">
        <f>"009X009 CM"</f>
        <v>009X009 CM</v>
      </c>
      <c r="D218" s="5"/>
      <c r="E218" s="1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1"/>
      <c r="Y218" s="5"/>
      <c r="Z218" s="5"/>
      <c r="AA218" s="5"/>
      <c r="AB218" s="5"/>
      <c r="AC218" s="5"/>
      <c r="AD218" s="5"/>
      <c r="AE218" s="5"/>
      <c r="AF218" s="5"/>
      <c r="AG218" s="5"/>
      <c r="AH218" s="13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>
        <f t="shared" si="8"/>
        <v>0</v>
      </c>
      <c r="BB218" s="28"/>
      <c r="BC218" s="5"/>
    </row>
    <row r="219" spans="1:55" s="8" customFormat="1" ht="11.25">
      <c r="A219" s="19" t="s">
        <v>218</v>
      </c>
      <c r="B219" s="9" t="str">
        <f>"RAGASZTÓ STIFT"</f>
        <v>RAGASZTÓ STIFT</v>
      </c>
      <c r="C219" s="9" t="str">
        <f>"STANDARD"</f>
        <v>STANDARD</v>
      </c>
      <c r="D219" s="4">
        <v>3</v>
      </c>
      <c r="E219" s="13"/>
      <c r="F219" s="4"/>
      <c r="G219" s="4"/>
      <c r="H219" s="4"/>
      <c r="I219" s="4">
        <v>1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10"/>
      <c r="Y219" s="4"/>
      <c r="Z219" s="4"/>
      <c r="AA219" s="4"/>
      <c r="AB219" s="4"/>
      <c r="AC219" s="4"/>
      <c r="AD219" s="4"/>
      <c r="AE219" s="4"/>
      <c r="AF219" s="4"/>
      <c r="AG219" s="4"/>
      <c r="AH219" s="13"/>
      <c r="AI219" s="4"/>
      <c r="AJ219" s="4"/>
      <c r="AK219" s="4"/>
      <c r="AL219" s="4"/>
      <c r="AM219" s="4">
        <v>1</v>
      </c>
      <c r="AN219" s="4">
        <v>1</v>
      </c>
      <c r="AO219" s="4">
        <v>1</v>
      </c>
      <c r="AP219" s="4">
        <v>1</v>
      </c>
      <c r="AQ219" s="4">
        <v>1</v>
      </c>
      <c r="AR219" s="4">
        <v>1</v>
      </c>
      <c r="AS219" s="4"/>
      <c r="AT219" s="4"/>
      <c r="AU219" s="4"/>
      <c r="AV219" s="4"/>
      <c r="AW219" s="4"/>
      <c r="AX219" s="4"/>
      <c r="AY219" s="4"/>
      <c r="AZ219" s="4"/>
      <c r="BA219" s="5">
        <f t="shared" si="8"/>
        <v>10</v>
      </c>
      <c r="BB219" s="28" t="s">
        <v>14</v>
      </c>
      <c r="BC219" s="5"/>
    </row>
    <row r="220" spans="1:55" s="8" customFormat="1" ht="11.25">
      <c r="A220" s="19" t="s">
        <v>219</v>
      </c>
      <c r="B220" s="9" t="str">
        <f>"RAGASZTÓ SZALAG (CELLUX)"</f>
        <v>RAGASZTÓ SZALAG (CELLUX)</v>
      </c>
      <c r="C220" s="9" t="str">
        <f>"KIS TEKERCS"</f>
        <v>KIS TEKERCS</v>
      </c>
      <c r="D220" s="5">
        <v>5</v>
      </c>
      <c r="E220" s="13"/>
      <c r="F220" s="5"/>
      <c r="G220" s="5">
        <v>10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11"/>
      <c r="Y220" s="5"/>
      <c r="Z220" s="5"/>
      <c r="AA220" s="5"/>
      <c r="AB220" s="5"/>
      <c r="AC220" s="5"/>
      <c r="AD220" s="5"/>
      <c r="AE220" s="5"/>
      <c r="AF220" s="5"/>
      <c r="AG220" s="5"/>
      <c r="AH220" s="13"/>
      <c r="AI220" s="5"/>
      <c r="AJ220" s="5"/>
      <c r="AK220" s="5"/>
      <c r="AL220" s="5"/>
      <c r="AM220" s="5"/>
      <c r="AN220" s="5"/>
      <c r="AO220" s="5">
        <v>5</v>
      </c>
      <c r="AP220" s="5">
        <v>1</v>
      </c>
      <c r="AQ220" s="5">
        <v>1</v>
      </c>
      <c r="AR220" s="5">
        <v>1</v>
      </c>
      <c r="AS220" s="5"/>
      <c r="AT220" s="5"/>
      <c r="AU220" s="5"/>
      <c r="AV220" s="5"/>
      <c r="AW220" s="5"/>
      <c r="AX220" s="5"/>
      <c r="AY220" s="5"/>
      <c r="AZ220" s="5"/>
      <c r="BA220" s="5">
        <f t="shared" si="8"/>
        <v>23</v>
      </c>
      <c r="BB220" s="28" t="s">
        <v>14</v>
      </c>
      <c r="BC220" s="5"/>
    </row>
    <row r="221" spans="1:55" s="8" customFormat="1" ht="11.25" hidden="1">
      <c r="A221" s="19" t="s">
        <v>236</v>
      </c>
      <c r="B221" s="9" t="s">
        <v>11</v>
      </c>
      <c r="C221" s="9" t="str">
        <f>"051X038 MM"</f>
        <v>051X038 MM</v>
      </c>
      <c r="D221" s="5"/>
      <c r="E221" s="1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1"/>
      <c r="Y221" s="5"/>
      <c r="Z221" s="5"/>
      <c r="AA221" s="5"/>
      <c r="AB221" s="5"/>
      <c r="AC221" s="5"/>
      <c r="AD221" s="5"/>
      <c r="AE221" s="5"/>
      <c r="AF221" s="5"/>
      <c r="AG221" s="5"/>
      <c r="AH221" s="13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>
        <f t="shared" si="8"/>
        <v>0</v>
      </c>
      <c r="BB221" s="28" t="s">
        <v>14</v>
      </c>
      <c r="BC221" s="5"/>
    </row>
    <row r="222" spans="1:55" s="8" customFormat="1" ht="11.25">
      <c r="A222" s="19" t="s">
        <v>220</v>
      </c>
      <c r="B222" s="9" t="str">
        <f>"RAGASZTÓ SZALAG (CELLUX)"</f>
        <v>RAGASZTÓ SZALAG (CELLUX)</v>
      </c>
      <c r="C222" s="9" t="str">
        <f>"KÖZEPES TEKERCS"</f>
        <v>KÖZEPES TEKERCS</v>
      </c>
      <c r="D222" s="5"/>
      <c r="E222" s="13"/>
      <c r="F222" s="5"/>
      <c r="G222" s="5"/>
      <c r="H222" s="5">
        <v>1</v>
      </c>
      <c r="I222" s="5">
        <v>1</v>
      </c>
      <c r="J222" s="5"/>
      <c r="K222" s="5"/>
      <c r="L222" s="5">
        <v>1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1"/>
      <c r="Y222" s="5"/>
      <c r="Z222" s="5"/>
      <c r="AA222" s="5"/>
      <c r="AB222" s="5"/>
      <c r="AC222" s="5"/>
      <c r="AD222" s="5"/>
      <c r="AE222" s="5"/>
      <c r="AF222" s="5"/>
      <c r="AG222" s="5"/>
      <c r="AH222" s="13"/>
      <c r="AI222" s="5"/>
      <c r="AJ222" s="5"/>
      <c r="AK222" s="5"/>
      <c r="AL222" s="5"/>
      <c r="AM222" s="5"/>
      <c r="AN222" s="5"/>
      <c r="AO222" s="5"/>
      <c r="AP222" s="5"/>
      <c r="AQ222" s="5">
        <v>1</v>
      </c>
      <c r="AR222" s="5">
        <v>1</v>
      </c>
      <c r="AS222" s="5"/>
      <c r="AT222" s="5"/>
      <c r="AU222" s="5"/>
      <c r="AV222" s="5"/>
      <c r="AW222" s="5"/>
      <c r="AX222" s="5"/>
      <c r="AY222" s="5"/>
      <c r="AZ222" s="5"/>
      <c r="BA222" s="5">
        <f t="shared" si="8"/>
        <v>5</v>
      </c>
      <c r="BB222" s="28" t="s">
        <v>14</v>
      </c>
      <c r="BC222" s="5"/>
    </row>
    <row r="223" spans="1:55" s="8" customFormat="1" ht="11.25" hidden="1">
      <c r="A223" s="19" t="s">
        <v>237</v>
      </c>
      <c r="B223" s="9" t="s">
        <v>12</v>
      </c>
      <c r="C223" s="9" t="str">
        <f>"127X075 MM"</f>
        <v>127X075 MM</v>
      </c>
      <c r="D223" s="5"/>
      <c r="E223" s="1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11"/>
      <c r="Y223" s="5"/>
      <c r="Z223" s="5"/>
      <c r="AA223" s="5"/>
      <c r="AB223" s="5"/>
      <c r="AC223" s="5"/>
      <c r="AD223" s="5"/>
      <c r="AE223" s="5"/>
      <c r="AF223" s="5"/>
      <c r="AG223" s="5"/>
      <c r="AH223" s="13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>
        <f t="shared" si="8"/>
        <v>0</v>
      </c>
      <c r="BB223" s="28" t="s">
        <v>14</v>
      </c>
      <c r="BC223" s="5"/>
    </row>
    <row r="224" spans="1:55" s="8" customFormat="1" ht="11.25" hidden="1">
      <c r="A224" s="19" t="s">
        <v>238</v>
      </c>
      <c r="B224" s="9" t="str">
        <f>"TÉPŐTÖMB (SZÍNES-CSAVART)"</f>
        <v>TÉPŐTÖMB (SZÍNES-CSAVART)</v>
      </c>
      <c r="C224" s="9" t="str">
        <f>"010X010 MM"</f>
        <v>010X010 MM</v>
      </c>
      <c r="D224" s="5"/>
      <c r="E224" s="1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11"/>
      <c r="Y224" s="5"/>
      <c r="Z224" s="5"/>
      <c r="AA224" s="5"/>
      <c r="AB224" s="5"/>
      <c r="AC224" s="5"/>
      <c r="AD224" s="5"/>
      <c r="AE224" s="5"/>
      <c r="AF224" s="5"/>
      <c r="AG224" s="5"/>
      <c r="AH224" s="13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>
        <f t="shared" si="8"/>
        <v>0</v>
      </c>
      <c r="BB224" s="28" t="s">
        <v>14</v>
      </c>
      <c r="BC224" s="5"/>
    </row>
    <row r="225" spans="1:57" s="8" customFormat="1" ht="11.25" hidden="1">
      <c r="A225" s="19" t="s">
        <v>239</v>
      </c>
      <c r="B225" s="9" t="str">
        <f>"TÉRKÉPTŰ"</f>
        <v>TÉRKÉPTŰ</v>
      </c>
      <c r="C225" s="9" t="str">
        <f>"SAKOTA"</f>
        <v>SAKOTA</v>
      </c>
      <c r="D225" s="5"/>
      <c r="E225" s="1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11"/>
      <c r="Y225" s="5"/>
      <c r="Z225" s="5"/>
      <c r="AA225" s="5"/>
      <c r="AB225" s="5"/>
      <c r="AC225" s="5"/>
      <c r="AD225" s="5"/>
      <c r="AE225" s="5"/>
      <c r="AF225" s="5"/>
      <c r="AG225" s="5"/>
      <c r="AH225" s="13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>
        <f t="shared" si="8"/>
        <v>0</v>
      </c>
      <c r="BB225" s="28" t="s">
        <v>14</v>
      </c>
      <c r="BC225" s="5"/>
      <c r="BE225" s="9"/>
    </row>
    <row r="226" spans="1:55" s="9" customFormat="1" ht="11.25" hidden="1">
      <c r="A226" s="19" t="s">
        <v>240</v>
      </c>
      <c r="B226" s="9" t="str">
        <f>"TÖLTŐTOLL PATRON"</f>
        <v>TÖLTŐTOLL PATRON</v>
      </c>
      <c r="C226" s="9" t="str">
        <f>"PAX"</f>
        <v>PAX</v>
      </c>
      <c r="D226" s="4"/>
      <c r="E226" s="1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0"/>
      <c r="Y226" s="4"/>
      <c r="Z226" s="4"/>
      <c r="AA226" s="4"/>
      <c r="AB226" s="4"/>
      <c r="AC226" s="4"/>
      <c r="AD226" s="4"/>
      <c r="AE226" s="4"/>
      <c r="AF226" s="4"/>
      <c r="AG226" s="4"/>
      <c r="AH226" s="13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5">
        <f t="shared" si="8"/>
        <v>0</v>
      </c>
      <c r="BB226" s="28" t="s">
        <v>14</v>
      </c>
      <c r="BC226" s="4"/>
    </row>
    <row r="227" spans="1:57" s="9" customFormat="1" ht="11.25" hidden="1">
      <c r="A227" s="19" t="s">
        <v>241</v>
      </c>
      <c r="B227" s="9" t="str">
        <f>"TUSTINTA (ROTRING)"</f>
        <v>TUSTINTA (ROTRING)</v>
      </c>
      <c r="D227" s="4"/>
      <c r="E227" s="1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0"/>
      <c r="Y227" s="4"/>
      <c r="Z227" s="4"/>
      <c r="AA227" s="4"/>
      <c r="AB227" s="4"/>
      <c r="AC227" s="4"/>
      <c r="AD227" s="4"/>
      <c r="AE227" s="4"/>
      <c r="AF227" s="4"/>
      <c r="AG227" s="4"/>
      <c r="AH227" s="13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5">
        <f t="shared" si="8"/>
        <v>0</v>
      </c>
      <c r="BB227" s="28" t="s">
        <v>14</v>
      </c>
      <c r="BC227" s="4"/>
      <c r="BE227" s="8"/>
    </row>
    <row r="228" spans="1:55" s="8" customFormat="1" ht="11.25" hidden="1">
      <c r="A228" s="19" t="s">
        <v>242</v>
      </c>
      <c r="B228" s="9" t="s">
        <v>13</v>
      </c>
      <c r="C228" s="9" t="str">
        <f>"DELI NO. 0327"</f>
        <v>DELI NO. 0327</v>
      </c>
      <c r="D228" s="5"/>
      <c r="E228" s="1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11"/>
      <c r="Y228" s="5"/>
      <c r="Z228" s="5"/>
      <c r="AA228" s="5"/>
      <c r="AB228" s="5"/>
      <c r="AC228" s="5"/>
      <c r="AD228" s="5"/>
      <c r="AE228" s="5"/>
      <c r="AF228" s="5"/>
      <c r="AG228" s="5"/>
      <c r="AH228" s="13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>
        <f t="shared" si="8"/>
        <v>0</v>
      </c>
      <c r="BB228" s="28" t="s">
        <v>14</v>
      </c>
      <c r="BC228" s="5"/>
    </row>
    <row r="229" spans="1:55" s="8" customFormat="1" ht="11.25">
      <c r="A229" s="19" t="s">
        <v>221</v>
      </c>
      <c r="B229" s="9" t="s">
        <v>28</v>
      </c>
      <c r="C229" s="9" t="s">
        <v>29</v>
      </c>
      <c r="D229" s="5"/>
      <c r="E229" s="13"/>
      <c r="F229" s="5"/>
      <c r="G229" s="5"/>
      <c r="H229" s="5">
        <v>2</v>
      </c>
      <c r="I229" s="5">
        <v>1</v>
      </c>
      <c r="J229" s="5"/>
      <c r="K229" s="5"/>
      <c r="L229" s="5">
        <v>1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1"/>
      <c r="Y229" s="5"/>
      <c r="Z229" s="5"/>
      <c r="AA229" s="5"/>
      <c r="AB229" s="5"/>
      <c r="AC229" s="5"/>
      <c r="AD229" s="5"/>
      <c r="AE229" s="5"/>
      <c r="AF229" s="5"/>
      <c r="AG229" s="5"/>
      <c r="AH229" s="13"/>
      <c r="AI229" s="5"/>
      <c r="AJ229" s="5"/>
      <c r="AK229" s="5"/>
      <c r="AL229" s="5"/>
      <c r="AM229" s="5"/>
      <c r="AN229" s="5"/>
      <c r="AO229" s="5"/>
      <c r="AP229" s="5"/>
      <c r="AQ229" s="5">
        <v>1</v>
      </c>
      <c r="AR229" s="5">
        <v>1</v>
      </c>
      <c r="AS229" s="5"/>
      <c r="AT229" s="5"/>
      <c r="AU229" s="5"/>
      <c r="AV229" s="5"/>
      <c r="AW229" s="5"/>
      <c r="AX229" s="5"/>
      <c r="AY229" s="5"/>
      <c r="AZ229" s="5"/>
      <c r="BA229" s="5">
        <f t="shared" si="8"/>
        <v>6</v>
      </c>
      <c r="BB229" s="28" t="s">
        <v>14</v>
      </c>
      <c r="BC229" s="5"/>
    </row>
    <row r="230" spans="1:55" s="8" customFormat="1" ht="11.25">
      <c r="A230" s="19" t="s">
        <v>222</v>
      </c>
      <c r="B230" s="9" t="s">
        <v>71</v>
      </c>
      <c r="C230" s="9" t="s">
        <v>72</v>
      </c>
      <c r="D230" s="5">
        <v>10</v>
      </c>
      <c r="E230" s="13"/>
      <c r="F230" s="5"/>
      <c r="G230" s="5"/>
      <c r="H230" s="5">
        <v>1</v>
      </c>
      <c r="I230" s="5"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1"/>
      <c r="Y230" s="5"/>
      <c r="Z230" s="5"/>
      <c r="AA230" s="5"/>
      <c r="AB230" s="5"/>
      <c r="AC230" s="5"/>
      <c r="AD230" s="5"/>
      <c r="AE230" s="5"/>
      <c r="AF230" s="5"/>
      <c r="AG230" s="5"/>
      <c r="AH230" s="13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>
        <f t="shared" si="8"/>
        <v>12</v>
      </c>
      <c r="BB230" s="28" t="s">
        <v>20</v>
      </c>
      <c r="BC230" s="5"/>
    </row>
    <row r="231" spans="1:55" s="9" customFormat="1" ht="11.25">
      <c r="A231" s="19" t="s">
        <v>223</v>
      </c>
      <c r="B231" s="9" t="s">
        <v>25</v>
      </c>
      <c r="C231" s="9" t="s">
        <v>26</v>
      </c>
      <c r="D231" s="4"/>
      <c r="E231" s="1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0"/>
      <c r="Y231" s="4"/>
      <c r="Z231" s="4"/>
      <c r="AA231" s="4"/>
      <c r="AB231" s="4"/>
      <c r="AC231" s="4"/>
      <c r="AD231" s="4"/>
      <c r="AE231" s="4"/>
      <c r="AF231" s="4"/>
      <c r="AG231" s="4"/>
      <c r="AH231" s="13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>
        <v>2</v>
      </c>
      <c r="AU231" s="4"/>
      <c r="AV231" s="4"/>
      <c r="AW231" s="4"/>
      <c r="AX231" s="4"/>
      <c r="AY231" s="4"/>
      <c r="AZ231" s="4"/>
      <c r="BA231" s="5">
        <f t="shared" si="8"/>
        <v>2</v>
      </c>
      <c r="BB231" s="28" t="s">
        <v>14</v>
      </c>
      <c r="BC231" s="4"/>
    </row>
    <row r="232" spans="1:55" s="9" customFormat="1" ht="11.25">
      <c r="A232" s="19" t="s">
        <v>224</v>
      </c>
      <c r="B232" s="9" t="s">
        <v>25</v>
      </c>
      <c r="C232" s="9" t="s">
        <v>111</v>
      </c>
      <c r="D232" s="4"/>
      <c r="E232" s="1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10"/>
      <c r="Y232" s="4"/>
      <c r="Z232" s="4"/>
      <c r="AA232" s="4"/>
      <c r="AB232" s="4"/>
      <c r="AC232" s="4"/>
      <c r="AD232" s="4"/>
      <c r="AE232" s="4"/>
      <c r="AF232" s="4"/>
      <c r="AG232" s="4"/>
      <c r="AH232" s="13"/>
      <c r="AI232" s="4"/>
      <c r="AJ232" s="4"/>
      <c r="AK232" s="4"/>
      <c r="AL232" s="4"/>
      <c r="AM232" s="4"/>
      <c r="AN232" s="4"/>
      <c r="AO232" s="4"/>
      <c r="AP232" s="4">
        <v>1</v>
      </c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5">
        <f t="shared" si="8"/>
        <v>1</v>
      </c>
      <c r="BB232" s="28" t="s">
        <v>14</v>
      </c>
      <c r="BC232" s="4"/>
    </row>
    <row r="233" spans="1:55" s="8" customFormat="1" ht="11.25">
      <c r="A233" s="19" t="s">
        <v>225</v>
      </c>
      <c r="B233" s="9" t="s">
        <v>25</v>
      </c>
      <c r="C233" s="9" t="s">
        <v>68</v>
      </c>
      <c r="D233" s="5">
        <v>10</v>
      </c>
      <c r="E233" s="1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11"/>
      <c r="Y233" s="5"/>
      <c r="Z233" s="5"/>
      <c r="AA233" s="5"/>
      <c r="AB233" s="5"/>
      <c r="AC233" s="5"/>
      <c r="AD233" s="5"/>
      <c r="AE233" s="5"/>
      <c r="AF233" s="5"/>
      <c r="AG233" s="5"/>
      <c r="AH233" s="13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>
        <f t="shared" si="8"/>
        <v>10</v>
      </c>
      <c r="BB233" s="28" t="s">
        <v>14</v>
      </c>
      <c r="BC233" s="5"/>
    </row>
    <row r="234" spans="1:55" s="8" customFormat="1" ht="11.25">
      <c r="A234" s="19" t="s">
        <v>226</v>
      </c>
      <c r="B234" s="9" t="s">
        <v>34</v>
      </c>
      <c r="C234" s="9" t="s">
        <v>36</v>
      </c>
      <c r="D234" s="5">
        <v>10</v>
      </c>
      <c r="E234" s="13">
        <v>1</v>
      </c>
      <c r="F234" s="5">
        <v>2</v>
      </c>
      <c r="G234" s="5"/>
      <c r="H234" s="5">
        <v>2</v>
      </c>
      <c r="I234" s="5">
        <v>2</v>
      </c>
      <c r="J234" s="5"/>
      <c r="K234" s="5"/>
      <c r="L234" s="5"/>
      <c r="M234" s="4"/>
      <c r="N234" s="5"/>
      <c r="O234" s="4"/>
      <c r="P234" s="4"/>
      <c r="Q234" s="4"/>
      <c r="R234" s="4"/>
      <c r="S234" s="4"/>
      <c r="T234" s="4"/>
      <c r="U234" s="5"/>
      <c r="V234" s="4">
        <v>2</v>
      </c>
      <c r="W234" s="4">
        <v>1</v>
      </c>
      <c r="X234" s="10"/>
      <c r="Y234" s="4"/>
      <c r="Z234" s="4"/>
      <c r="AA234" s="4"/>
      <c r="AB234" s="4"/>
      <c r="AC234" s="4"/>
      <c r="AD234" s="4"/>
      <c r="AE234" s="4"/>
      <c r="AF234" s="4"/>
      <c r="AG234" s="5"/>
      <c r="AH234" s="13"/>
      <c r="AI234" s="5"/>
      <c r="AJ234" s="5"/>
      <c r="AK234" s="5"/>
      <c r="AL234" s="5"/>
      <c r="AM234" s="5"/>
      <c r="AN234" s="5">
        <v>1</v>
      </c>
      <c r="AO234" s="5"/>
      <c r="AP234" s="5">
        <v>1</v>
      </c>
      <c r="AQ234" s="5"/>
      <c r="AR234" s="5"/>
      <c r="AS234" s="5"/>
      <c r="AT234" s="5"/>
      <c r="AU234" s="5"/>
      <c r="AV234" s="5"/>
      <c r="AW234" s="5"/>
      <c r="AX234" s="4"/>
      <c r="AY234" s="5">
        <v>1</v>
      </c>
      <c r="AZ234" s="5"/>
      <c r="BA234" s="5">
        <f t="shared" si="8"/>
        <v>23</v>
      </c>
      <c r="BB234" s="28" t="s">
        <v>14</v>
      </c>
      <c r="BC234" s="5"/>
    </row>
    <row r="235" spans="1:55" s="8" customFormat="1" ht="11.25">
      <c r="A235" s="19" t="s">
        <v>227</v>
      </c>
      <c r="B235" s="9" t="s">
        <v>34</v>
      </c>
      <c r="C235" s="9" t="s">
        <v>38</v>
      </c>
      <c r="D235" s="5">
        <v>10</v>
      </c>
      <c r="E235" s="13"/>
      <c r="F235" s="5"/>
      <c r="G235" s="5"/>
      <c r="H235" s="5">
        <v>2</v>
      </c>
      <c r="I235" s="5">
        <v>2</v>
      </c>
      <c r="J235" s="5"/>
      <c r="K235" s="5"/>
      <c r="L235" s="5"/>
      <c r="M235" s="4"/>
      <c r="N235" s="5"/>
      <c r="O235" s="4"/>
      <c r="P235" s="4"/>
      <c r="Q235" s="4"/>
      <c r="R235" s="4"/>
      <c r="S235" s="4"/>
      <c r="T235" s="4"/>
      <c r="U235" s="5"/>
      <c r="V235" s="4"/>
      <c r="W235" s="4"/>
      <c r="X235" s="10"/>
      <c r="Y235" s="4"/>
      <c r="Z235" s="4"/>
      <c r="AA235" s="4"/>
      <c r="AB235" s="4"/>
      <c r="AC235" s="4"/>
      <c r="AD235" s="4"/>
      <c r="AE235" s="4"/>
      <c r="AF235" s="4"/>
      <c r="AG235" s="5"/>
      <c r="AH235" s="13"/>
      <c r="AI235" s="5"/>
      <c r="AJ235" s="5"/>
      <c r="AK235" s="5"/>
      <c r="AL235" s="5"/>
      <c r="AM235" s="5"/>
      <c r="AN235" s="5">
        <v>1</v>
      </c>
      <c r="AO235" s="5"/>
      <c r="AP235" s="5"/>
      <c r="AQ235" s="5"/>
      <c r="AR235" s="5"/>
      <c r="AS235" s="5"/>
      <c r="AT235" s="5"/>
      <c r="AU235" s="5"/>
      <c r="AV235" s="5"/>
      <c r="AW235" s="5"/>
      <c r="AX235" s="4"/>
      <c r="AY235" s="5"/>
      <c r="AZ235" s="5"/>
      <c r="BA235" s="5">
        <f t="shared" si="8"/>
        <v>15</v>
      </c>
      <c r="BB235" s="28" t="s">
        <v>14</v>
      </c>
      <c r="BC235" s="5"/>
    </row>
    <row r="236" spans="1:55" s="8" customFormat="1" ht="11.25">
      <c r="A236" s="19" t="s">
        <v>228</v>
      </c>
      <c r="B236" s="9" t="s">
        <v>34</v>
      </c>
      <c r="C236" s="9" t="s">
        <v>37</v>
      </c>
      <c r="D236" s="5"/>
      <c r="E236" s="13"/>
      <c r="F236" s="5"/>
      <c r="G236" s="5"/>
      <c r="H236" s="5">
        <v>2</v>
      </c>
      <c r="I236" s="5">
        <v>2</v>
      </c>
      <c r="J236" s="5"/>
      <c r="K236" s="5"/>
      <c r="L236" s="5"/>
      <c r="M236" s="4"/>
      <c r="N236" s="5"/>
      <c r="O236" s="4"/>
      <c r="P236" s="4"/>
      <c r="Q236" s="4"/>
      <c r="R236" s="4"/>
      <c r="S236" s="4"/>
      <c r="T236" s="4"/>
      <c r="U236" s="5"/>
      <c r="V236" s="4"/>
      <c r="W236" s="4"/>
      <c r="X236" s="10"/>
      <c r="Y236" s="4"/>
      <c r="Z236" s="4"/>
      <c r="AA236" s="4"/>
      <c r="AB236" s="4"/>
      <c r="AC236" s="4"/>
      <c r="AD236" s="4"/>
      <c r="AE236" s="4"/>
      <c r="AF236" s="4"/>
      <c r="AG236" s="5"/>
      <c r="AH236" s="13"/>
      <c r="AI236" s="5"/>
      <c r="AJ236" s="5"/>
      <c r="AK236" s="5"/>
      <c r="AL236" s="5"/>
      <c r="AM236" s="5"/>
      <c r="AN236" s="5">
        <v>1</v>
      </c>
      <c r="AO236" s="5"/>
      <c r="AP236" s="5"/>
      <c r="AQ236" s="5"/>
      <c r="AR236" s="5"/>
      <c r="AS236" s="5"/>
      <c r="AT236" s="5"/>
      <c r="AU236" s="5"/>
      <c r="AV236" s="5"/>
      <c r="AW236" s="5"/>
      <c r="AX236" s="4"/>
      <c r="AY236" s="5">
        <v>1</v>
      </c>
      <c r="AZ236" s="5"/>
      <c r="BA236" s="5">
        <f aca="true" t="shared" si="9" ref="BA236:BA265">SUM(D236:AZ236)</f>
        <v>6</v>
      </c>
      <c r="BB236" s="28" t="s">
        <v>14</v>
      </c>
      <c r="BC236" s="5"/>
    </row>
    <row r="237" spans="1:55" s="8" customFormat="1" ht="11.25">
      <c r="A237" s="19" t="s">
        <v>229</v>
      </c>
      <c r="B237" s="9" t="s">
        <v>34</v>
      </c>
      <c r="C237" s="9" t="s">
        <v>35</v>
      </c>
      <c r="D237" s="5"/>
      <c r="E237" s="13"/>
      <c r="F237" s="5"/>
      <c r="G237" s="5"/>
      <c r="H237" s="5"/>
      <c r="I237" s="5">
        <v>2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11"/>
      <c r="Y237" s="5"/>
      <c r="Z237" s="5"/>
      <c r="AA237" s="5"/>
      <c r="AB237" s="5"/>
      <c r="AC237" s="5"/>
      <c r="AD237" s="5"/>
      <c r="AE237" s="5"/>
      <c r="AF237" s="5"/>
      <c r="AG237" s="5"/>
      <c r="AH237" s="13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>
        <f t="shared" si="9"/>
        <v>2</v>
      </c>
      <c r="BB237" s="28" t="s">
        <v>14</v>
      </c>
      <c r="BC237" s="5"/>
    </row>
    <row r="238" spans="1:55" s="9" customFormat="1" ht="11.25">
      <c r="A238" s="19" t="s">
        <v>230</v>
      </c>
      <c r="B238" s="17" t="s">
        <v>1</v>
      </c>
      <c r="C238" s="9" t="s">
        <v>2</v>
      </c>
      <c r="D238" s="4">
        <v>5</v>
      </c>
      <c r="E238" s="13">
        <v>1</v>
      </c>
      <c r="F238" s="4">
        <v>2</v>
      </c>
      <c r="G238" s="4"/>
      <c r="H238" s="4"/>
      <c r="I238" s="4">
        <v>2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0"/>
      <c r="Y238" s="4"/>
      <c r="Z238" s="4"/>
      <c r="AA238" s="4"/>
      <c r="AB238" s="4"/>
      <c r="AC238" s="4"/>
      <c r="AD238" s="4"/>
      <c r="AE238" s="4"/>
      <c r="AF238" s="4"/>
      <c r="AG238" s="4"/>
      <c r="AH238" s="13"/>
      <c r="AI238" s="4"/>
      <c r="AJ238" s="4"/>
      <c r="AK238" s="4"/>
      <c r="AL238" s="4"/>
      <c r="AM238" s="4"/>
      <c r="AN238" s="4"/>
      <c r="AO238" s="4"/>
      <c r="AP238" s="4">
        <v>1</v>
      </c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5">
        <f t="shared" si="9"/>
        <v>11</v>
      </c>
      <c r="BB238" s="28" t="s">
        <v>14</v>
      </c>
      <c r="BC238" s="4"/>
    </row>
    <row r="239" spans="1:55" s="9" customFormat="1" ht="11.25">
      <c r="A239" s="19" t="s">
        <v>231</v>
      </c>
      <c r="B239" s="9" t="s">
        <v>1</v>
      </c>
      <c r="C239" s="9" t="s">
        <v>5</v>
      </c>
      <c r="D239" s="4">
        <v>5</v>
      </c>
      <c r="E239" s="13"/>
      <c r="F239" s="4"/>
      <c r="G239" s="4"/>
      <c r="H239" s="4"/>
      <c r="I239" s="4">
        <v>2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0"/>
      <c r="Y239" s="4"/>
      <c r="Z239" s="4"/>
      <c r="AA239" s="4"/>
      <c r="AB239" s="4"/>
      <c r="AC239" s="4"/>
      <c r="AD239" s="4"/>
      <c r="AE239" s="4"/>
      <c r="AF239" s="4"/>
      <c r="AG239" s="4"/>
      <c r="AH239" s="13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5">
        <f t="shared" si="9"/>
        <v>7</v>
      </c>
      <c r="BB239" s="28" t="s">
        <v>14</v>
      </c>
      <c r="BC239" s="4"/>
    </row>
    <row r="240" spans="1:55" s="9" customFormat="1" ht="11.25">
      <c r="A240" s="19" t="s">
        <v>232</v>
      </c>
      <c r="B240" s="9" t="s">
        <v>1</v>
      </c>
      <c r="C240" s="9" t="s">
        <v>3</v>
      </c>
      <c r="D240" s="4">
        <v>5</v>
      </c>
      <c r="E240" s="13"/>
      <c r="F240" s="4"/>
      <c r="G240" s="4"/>
      <c r="H240" s="4">
        <v>2</v>
      </c>
      <c r="I240" s="4">
        <v>2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0"/>
      <c r="Y240" s="4"/>
      <c r="Z240" s="4"/>
      <c r="AA240" s="4"/>
      <c r="AB240" s="4"/>
      <c r="AC240" s="4"/>
      <c r="AD240" s="4"/>
      <c r="AE240" s="4"/>
      <c r="AF240" s="4"/>
      <c r="AG240" s="4"/>
      <c r="AH240" s="13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5">
        <f t="shared" si="9"/>
        <v>9</v>
      </c>
      <c r="BB240" s="28" t="s">
        <v>14</v>
      </c>
      <c r="BC240" s="4"/>
    </row>
    <row r="241" spans="1:55" s="9" customFormat="1" ht="11.25">
      <c r="A241" s="19" t="s">
        <v>233</v>
      </c>
      <c r="B241" s="9" t="s">
        <v>1</v>
      </c>
      <c r="C241" s="9" t="s">
        <v>112</v>
      </c>
      <c r="D241" s="4">
        <v>5</v>
      </c>
      <c r="E241" s="13"/>
      <c r="F241" s="4"/>
      <c r="G241" s="4"/>
      <c r="H241" s="4">
        <v>1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0"/>
      <c r="Y241" s="4"/>
      <c r="Z241" s="4"/>
      <c r="AA241" s="4"/>
      <c r="AB241" s="4"/>
      <c r="AC241" s="4"/>
      <c r="AD241" s="4"/>
      <c r="AE241" s="4"/>
      <c r="AF241" s="4"/>
      <c r="AG241" s="4"/>
      <c r="AH241" s="13"/>
      <c r="AI241" s="4"/>
      <c r="AJ241" s="4"/>
      <c r="AK241" s="4"/>
      <c r="AL241" s="4"/>
      <c r="AM241" s="4"/>
      <c r="AN241" s="4"/>
      <c r="AO241" s="4"/>
      <c r="AP241" s="4"/>
      <c r="AQ241" s="4">
        <v>1</v>
      </c>
      <c r="AR241" s="4"/>
      <c r="AS241" s="4"/>
      <c r="AT241" s="4"/>
      <c r="AU241" s="4"/>
      <c r="AV241" s="4">
        <v>1</v>
      </c>
      <c r="AW241" s="4"/>
      <c r="AX241" s="4"/>
      <c r="AY241" s="4"/>
      <c r="AZ241" s="4"/>
      <c r="BA241" s="5">
        <f t="shared" si="9"/>
        <v>8</v>
      </c>
      <c r="BB241" s="28" t="s">
        <v>14</v>
      </c>
      <c r="BC241" s="4"/>
    </row>
    <row r="242" spans="1:55" s="9" customFormat="1" ht="11.25">
      <c r="A242" s="19" t="s">
        <v>234</v>
      </c>
      <c r="B242" s="9" t="s">
        <v>1</v>
      </c>
      <c r="C242" s="9" t="s">
        <v>282</v>
      </c>
      <c r="D242" s="4"/>
      <c r="E242" s="1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0"/>
      <c r="Y242" s="4"/>
      <c r="Z242" s="4"/>
      <c r="AA242" s="4"/>
      <c r="AB242" s="4"/>
      <c r="AC242" s="4"/>
      <c r="AD242" s="4"/>
      <c r="AE242" s="4"/>
      <c r="AF242" s="4"/>
      <c r="AG242" s="4"/>
      <c r="AH242" s="13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>
        <v>4</v>
      </c>
      <c r="AZ242" s="4"/>
      <c r="BA242" s="5">
        <f t="shared" si="9"/>
        <v>4</v>
      </c>
      <c r="BB242" s="28" t="s">
        <v>14</v>
      </c>
      <c r="BC242" s="4"/>
    </row>
    <row r="243" spans="1:55" s="9" customFormat="1" ht="11.25">
      <c r="A243" s="19" t="s">
        <v>235</v>
      </c>
      <c r="B243" s="9" t="s">
        <v>1</v>
      </c>
      <c r="C243" s="9" t="s">
        <v>47</v>
      </c>
      <c r="D243" s="4">
        <v>5</v>
      </c>
      <c r="E243" s="13"/>
      <c r="F243" s="4"/>
      <c r="G243" s="4"/>
      <c r="H243" s="4">
        <v>1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0"/>
      <c r="Y243" s="4"/>
      <c r="Z243" s="4"/>
      <c r="AA243" s="4"/>
      <c r="AB243" s="4"/>
      <c r="AC243" s="4"/>
      <c r="AD243" s="4"/>
      <c r="AE243" s="4"/>
      <c r="AF243" s="4"/>
      <c r="AG243" s="4"/>
      <c r="AH243" s="13"/>
      <c r="AI243" s="4"/>
      <c r="AJ243" s="4"/>
      <c r="AK243" s="4"/>
      <c r="AL243" s="4"/>
      <c r="AM243" s="4"/>
      <c r="AN243" s="4"/>
      <c r="AO243" s="4"/>
      <c r="AP243" s="4"/>
      <c r="AQ243" s="4">
        <v>1</v>
      </c>
      <c r="AR243" s="4"/>
      <c r="AS243" s="4"/>
      <c r="AT243" s="4"/>
      <c r="AU243" s="4"/>
      <c r="AV243" s="4"/>
      <c r="AW243" s="4">
        <v>1</v>
      </c>
      <c r="AX243" s="4"/>
      <c r="AY243" s="4">
        <v>4</v>
      </c>
      <c r="AZ243" s="4"/>
      <c r="BA243" s="5">
        <f t="shared" si="9"/>
        <v>12</v>
      </c>
      <c r="BB243" s="28" t="s">
        <v>14</v>
      </c>
      <c r="BC243" s="4"/>
    </row>
    <row r="244" spans="1:55" s="9" customFormat="1" ht="11.25">
      <c r="A244" s="19" t="s">
        <v>236</v>
      </c>
      <c r="B244" s="9" t="s">
        <v>113</v>
      </c>
      <c r="C244" s="9" t="s">
        <v>7</v>
      </c>
      <c r="D244" s="4">
        <v>5</v>
      </c>
      <c r="E244" s="1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0"/>
      <c r="Y244" s="4"/>
      <c r="Z244" s="4"/>
      <c r="AA244" s="4"/>
      <c r="AB244" s="4"/>
      <c r="AC244" s="4"/>
      <c r="AD244" s="4"/>
      <c r="AE244" s="4"/>
      <c r="AF244" s="4"/>
      <c r="AG244" s="4"/>
      <c r="AH244" s="13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5">
        <f t="shared" si="9"/>
        <v>5</v>
      </c>
      <c r="BB244" s="28" t="s">
        <v>14</v>
      </c>
      <c r="BC244" s="4"/>
    </row>
    <row r="245" spans="1:55" s="9" customFormat="1" ht="11.25">
      <c r="A245" s="19" t="s">
        <v>237</v>
      </c>
      <c r="B245" s="9" t="s">
        <v>67</v>
      </c>
      <c r="D245" s="4"/>
      <c r="E245" s="1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0"/>
      <c r="Y245" s="4"/>
      <c r="Z245" s="4"/>
      <c r="AA245" s="4"/>
      <c r="AB245" s="4"/>
      <c r="AC245" s="4"/>
      <c r="AD245" s="4"/>
      <c r="AE245" s="4"/>
      <c r="AF245" s="4"/>
      <c r="AG245" s="4"/>
      <c r="AH245" s="13"/>
      <c r="AI245" s="4"/>
      <c r="AJ245" s="4"/>
      <c r="AK245" s="4"/>
      <c r="AL245" s="4"/>
      <c r="AM245" s="4"/>
      <c r="AN245" s="4"/>
      <c r="AO245" s="4"/>
      <c r="AP245" s="4">
        <v>12</v>
      </c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5">
        <f t="shared" si="9"/>
        <v>12</v>
      </c>
      <c r="BB245" s="28" t="s">
        <v>14</v>
      </c>
      <c r="BC245" s="4"/>
    </row>
    <row r="246" spans="1:55" s="9" customFormat="1" ht="11.25">
      <c r="A246" s="19" t="s">
        <v>238</v>
      </c>
      <c r="B246" s="9" t="s">
        <v>57</v>
      </c>
      <c r="C246" s="9" t="s">
        <v>7</v>
      </c>
      <c r="D246" s="4"/>
      <c r="E246" s="13"/>
      <c r="F246" s="4"/>
      <c r="G246" s="4">
        <v>2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0"/>
      <c r="Y246" s="4"/>
      <c r="Z246" s="4"/>
      <c r="AA246" s="4"/>
      <c r="AB246" s="4"/>
      <c r="AC246" s="4"/>
      <c r="AD246" s="4"/>
      <c r="AE246" s="4"/>
      <c r="AF246" s="4"/>
      <c r="AG246" s="4"/>
      <c r="AH246" s="13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5">
        <f t="shared" si="9"/>
        <v>2</v>
      </c>
      <c r="BB246" s="28" t="s">
        <v>14</v>
      </c>
      <c r="BC246" s="4"/>
    </row>
    <row r="247" spans="1:57" s="9" customFormat="1" ht="11.25">
      <c r="A247" s="19" t="s">
        <v>239</v>
      </c>
      <c r="B247" s="9" t="s">
        <v>57</v>
      </c>
      <c r="C247" s="9" t="s">
        <v>8</v>
      </c>
      <c r="D247" s="4"/>
      <c r="E247" s="13"/>
      <c r="F247" s="4"/>
      <c r="G247" s="4"/>
      <c r="H247" s="4">
        <v>1</v>
      </c>
      <c r="I247" s="4">
        <v>1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0"/>
      <c r="Y247" s="4"/>
      <c r="Z247" s="4"/>
      <c r="AA247" s="4"/>
      <c r="AB247" s="4"/>
      <c r="AC247" s="4"/>
      <c r="AD247" s="4"/>
      <c r="AE247" s="4"/>
      <c r="AF247" s="4"/>
      <c r="AG247" s="4"/>
      <c r="AH247" s="13"/>
      <c r="AI247" s="4"/>
      <c r="AJ247" s="4"/>
      <c r="AK247" s="4"/>
      <c r="AL247" s="4"/>
      <c r="AM247" s="4"/>
      <c r="AN247" s="4"/>
      <c r="AO247" s="4"/>
      <c r="AP247" s="4"/>
      <c r="AQ247" s="4">
        <v>1</v>
      </c>
      <c r="AR247" s="4">
        <v>1</v>
      </c>
      <c r="AS247" s="4"/>
      <c r="AT247" s="4"/>
      <c r="AU247" s="4"/>
      <c r="AV247" s="4"/>
      <c r="AW247" s="4"/>
      <c r="AX247" s="4"/>
      <c r="AY247" s="4"/>
      <c r="AZ247" s="4"/>
      <c r="BA247" s="5">
        <f t="shared" si="9"/>
        <v>4</v>
      </c>
      <c r="BB247" s="28" t="s">
        <v>14</v>
      </c>
      <c r="BC247" s="4"/>
      <c r="BE247" s="8"/>
    </row>
    <row r="248" spans="1:55" s="9" customFormat="1" ht="11.25">
      <c r="A248" s="19" t="s">
        <v>240</v>
      </c>
      <c r="B248" s="9" t="s">
        <v>57</v>
      </c>
      <c r="C248" s="9" t="s">
        <v>6</v>
      </c>
      <c r="D248" s="4">
        <v>15</v>
      </c>
      <c r="E248" s="13"/>
      <c r="F248" s="4"/>
      <c r="G248" s="4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0"/>
      <c r="Y248" s="4"/>
      <c r="Z248" s="4"/>
      <c r="AA248" s="4"/>
      <c r="AB248" s="4"/>
      <c r="AC248" s="4"/>
      <c r="AD248" s="4"/>
      <c r="AE248" s="4"/>
      <c r="AF248" s="4"/>
      <c r="AG248" s="4"/>
      <c r="AH248" s="13"/>
      <c r="AI248" s="4"/>
      <c r="AJ248" s="4"/>
      <c r="AK248" s="4"/>
      <c r="AL248" s="4"/>
      <c r="AM248" s="4"/>
      <c r="AN248" s="4"/>
      <c r="AO248" s="4"/>
      <c r="AP248" s="4">
        <v>1</v>
      </c>
      <c r="AQ248" s="4"/>
      <c r="AR248" s="4"/>
      <c r="AS248" s="4"/>
      <c r="AT248" s="4"/>
      <c r="AU248" s="4"/>
      <c r="AV248" s="4"/>
      <c r="AW248" s="4"/>
      <c r="AX248" s="4"/>
      <c r="AY248" s="4">
        <v>2</v>
      </c>
      <c r="AZ248" s="4"/>
      <c r="BA248" s="5">
        <f t="shared" si="9"/>
        <v>20</v>
      </c>
      <c r="BB248" s="28" t="s">
        <v>14</v>
      </c>
      <c r="BC248" s="4"/>
    </row>
    <row r="249" spans="1:55" s="9" customFormat="1" ht="11.25">
      <c r="A249" s="19" t="s">
        <v>241</v>
      </c>
      <c r="B249" s="9" t="s">
        <v>57</v>
      </c>
      <c r="C249" s="9" t="s">
        <v>123</v>
      </c>
      <c r="D249" s="4"/>
      <c r="E249" s="13"/>
      <c r="F249" s="4"/>
      <c r="G249" s="4">
        <v>2</v>
      </c>
      <c r="H249" s="4"/>
      <c r="I249" s="4">
        <v>1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0"/>
      <c r="Y249" s="4"/>
      <c r="Z249" s="4"/>
      <c r="AA249" s="4"/>
      <c r="AB249" s="4"/>
      <c r="AC249" s="4"/>
      <c r="AD249" s="4"/>
      <c r="AE249" s="4"/>
      <c r="AF249" s="4"/>
      <c r="AG249" s="4"/>
      <c r="AH249" s="13"/>
      <c r="AI249" s="4"/>
      <c r="AJ249" s="4"/>
      <c r="AK249" s="4"/>
      <c r="AL249" s="4"/>
      <c r="AM249" s="4"/>
      <c r="AN249" s="4"/>
      <c r="AO249" s="4"/>
      <c r="AP249" s="4"/>
      <c r="AQ249" s="4">
        <v>1</v>
      </c>
      <c r="AR249" s="4">
        <v>1</v>
      </c>
      <c r="AS249" s="4"/>
      <c r="AT249" s="4"/>
      <c r="AU249" s="4"/>
      <c r="AV249" s="4"/>
      <c r="AW249" s="4"/>
      <c r="AX249" s="4"/>
      <c r="AY249" s="4"/>
      <c r="AZ249" s="4"/>
      <c r="BA249" s="5">
        <f t="shared" si="9"/>
        <v>5</v>
      </c>
      <c r="BB249" s="28" t="s">
        <v>14</v>
      </c>
      <c r="BC249" s="4"/>
    </row>
    <row r="250" spans="1:55" s="8" customFormat="1" ht="11.25">
      <c r="A250" s="19" t="s">
        <v>242</v>
      </c>
      <c r="B250" s="9" t="s">
        <v>57</v>
      </c>
      <c r="C250" s="9" t="s">
        <v>89</v>
      </c>
      <c r="D250" s="4"/>
      <c r="E250" s="13"/>
      <c r="F250" s="4"/>
      <c r="G250" s="4">
        <v>2</v>
      </c>
      <c r="H250" s="4">
        <v>1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0"/>
      <c r="Y250" s="4"/>
      <c r="Z250" s="4"/>
      <c r="AA250" s="4"/>
      <c r="AB250" s="4"/>
      <c r="AC250" s="4"/>
      <c r="AD250" s="4"/>
      <c r="AE250" s="4"/>
      <c r="AF250" s="4"/>
      <c r="AG250" s="4"/>
      <c r="AH250" s="13"/>
      <c r="AI250" s="4"/>
      <c r="AJ250" s="4"/>
      <c r="AK250" s="4"/>
      <c r="AL250" s="4"/>
      <c r="AM250" s="4"/>
      <c r="AN250" s="4"/>
      <c r="AO250" s="4"/>
      <c r="AP250" s="4">
        <v>1</v>
      </c>
      <c r="AQ250" s="4">
        <v>1</v>
      </c>
      <c r="AR250" s="4">
        <v>1</v>
      </c>
      <c r="AS250" s="4"/>
      <c r="AT250" s="4"/>
      <c r="AU250" s="4"/>
      <c r="AV250" s="4"/>
      <c r="AW250" s="4"/>
      <c r="AX250" s="4"/>
      <c r="AY250" s="4">
        <v>2</v>
      </c>
      <c r="AZ250" s="4"/>
      <c r="BA250" s="5">
        <f t="shared" si="9"/>
        <v>8</v>
      </c>
      <c r="BB250" s="28" t="s">
        <v>14</v>
      </c>
      <c r="BC250" s="5"/>
    </row>
    <row r="251" spans="1:55" s="8" customFormat="1" ht="11.25">
      <c r="A251" s="19" t="s">
        <v>243</v>
      </c>
      <c r="B251" s="9" t="s">
        <v>131</v>
      </c>
      <c r="C251" s="9" t="str">
        <f>"100X100 MM"</f>
        <v>100X100 MM</v>
      </c>
      <c r="D251" s="5">
        <v>10</v>
      </c>
      <c r="E251" s="13">
        <v>1</v>
      </c>
      <c r="F251" s="5">
        <v>3</v>
      </c>
      <c r="G251" s="5">
        <v>5</v>
      </c>
      <c r="H251" s="5">
        <v>1</v>
      </c>
      <c r="I251" s="5">
        <v>2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11"/>
      <c r="Y251" s="5"/>
      <c r="Z251" s="5"/>
      <c r="AA251" s="5"/>
      <c r="AB251" s="5"/>
      <c r="AC251" s="5"/>
      <c r="AD251" s="5"/>
      <c r="AE251" s="5"/>
      <c r="AF251" s="5"/>
      <c r="AG251" s="5"/>
      <c r="AH251" s="13"/>
      <c r="AI251" s="5"/>
      <c r="AJ251" s="5"/>
      <c r="AK251" s="5"/>
      <c r="AL251" s="5">
        <v>2</v>
      </c>
      <c r="AM251" s="5"/>
      <c r="AN251" s="5"/>
      <c r="AO251" s="5">
        <v>2</v>
      </c>
      <c r="AP251" s="5"/>
      <c r="AQ251" s="5"/>
      <c r="AR251" s="5"/>
      <c r="AS251" s="5">
        <v>2</v>
      </c>
      <c r="AT251" s="5">
        <v>3</v>
      </c>
      <c r="AU251" s="5"/>
      <c r="AV251" s="5"/>
      <c r="AW251" s="5"/>
      <c r="AX251" s="5">
        <v>1</v>
      </c>
      <c r="AY251" s="5">
        <v>2</v>
      </c>
      <c r="AZ251" s="5"/>
      <c r="BA251" s="5">
        <f t="shared" si="9"/>
        <v>34</v>
      </c>
      <c r="BB251" s="28" t="s">
        <v>14</v>
      </c>
      <c r="BC251" s="5"/>
    </row>
    <row r="252" spans="1:55" s="8" customFormat="1" ht="11.25">
      <c r="A252" s="19" t="s">
        <v>244</v>
      </c>
      <c r="B252" s="9" t="s">
        <v>11</v>
      </c>
      <c r="C252" s="9" t="str">
        <f>"050X040 MM"</f>
        <v>050X040 MM</v>
      </c>
      <c r="D252" s="5"/>
      <c r="E252" s="13">
        <v>1</v>
      </c>
      <c r="F252" s="5"/>
      <c r="G252" s="5"/>
      <c r="H252" s="5"/>
      <c r="I252" s="5"/>
      <c r="J252" s="5"/>
      <c r="K252" s="5"/>
      <c r="L252" s="5">
        <v>15</v>
      </c>
      <c r="M252" s="5"/>
      <c r="N252" s="5">
        <v>2</v>
      </c>
      <c r="O252" s="5"/>
      <c r="P252" s="5"/>
      <c r="Q252" s="5"/>
      <c r="R252" s="5"/>
      <c r="S252" s="5"/>
      <c r="T252" s="5"/>
      <c r="U252" s="5"/>
      <c r="V252" s="5"/>
      <c r="W252" s="5"/>
      <c r="X252" s="11"/>
      <c r="Y252" s="5"/>
      <c r="Z252" s="5"/>
      <c r="AA252" s="5"/>
      <c r="AB252" s="5"/>
      <c r="AC252" s="5"/>
      <c r="AD252" s="5"/>
      <c r="AE252" s="5"/>
      <c r="AF252" s="5"/>
      <c r="AG252" s="5"/>
      <c r="AH252" s="13"/>
      <c r="AI252" s="5"/>
      <c r="AJ252" s="5"/>
      <c r="AK252" s="5"/>
      <c r="AL252" s="5"/>
      <c r="AM252" s="5"/>
      <c r="AN252" s="5">
        <v>4</v>
      </c>
      <c r="AO252" s="5"/>
      <c r="AP252" s="5">
        <v>1</v>
      </c>
      <c r="AQ252" s="5"/>
      <c r="AR252" s="5"/>
      <c r="AS252" s="5"/>
      <c r="AT252" s="5"/>
      <c r="AU252" s="5"/>
      <c r="AV252" s="5"/>
      <c r="AW252" s="5"/>
      <c r="AX252" s="5"/>
      <c r="AY252" s="5">
        <v>2</v>
      </c>
      <c r="AZ252" s="5"/>
      <c r="BA252" s="5">
        <f t="shared" si="9"/>
        <v>25</v>
      </c>
      <c r="BB252" s="28" t="s">
        <v>14</v>
      </c>
      <c r="BC252" s="5"/>
    </row>
    <row r="253" spans="1:55" s="8" customFormat="1" ht="11.25">
      <c r="A253" s="19" t="s">
        <v>245</v>
      </c>
      <c r="B253" s="9" t="s">
        <v>11</v>
      </c>
      <c r="C253" s="9" t="str">
        <f>"075X075 MM"</f>
        <v>075X075 MM</v>
      </c>
      <c r="D253" s="5"/>
      <c r="E253" s="1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11"/>
      <c r="Y253" s="5"/>
      <c r="Z253" s="5"/>
      <c r="AA253" s="5"/>
      <c r="AB253" s="5"/>
      <c r="AC253" s="5"/>
      <c r="AD253" s="5"/>
      <c r="AE253" s="5"/>
      <c r="AF253" s="5"/>
      <c r="AG253" s="5"/>
      <c r="AH253" s="13"/>
      <c r="AI253" s="5"/>
      <c r="AJ253" s="5"/>
      <c r="AK253" s="5"/>
      <c r="AL253" s="5"/>
      <c r="AM253" s="5"/>
      <c r="AN253" s="5">
        <v>4</v>
      </c>
      <c r="AO253" s="5"/>
      <c r="AP253" s="5"/>
      <c r="AQ253" s="5"/>
      <c r="AR253" s="5"/>
      <c r="AS253" s="5"/>
      <c r="AT253" s="5"/>
      <c r="AU253" s="5"/>
      <c r="AV253" s="5"/>
      <c r="AW253" s="5"/>
      <c r="AX253" s="5">
        <v>1</v>
      </c>
      <c r="AY253" s="5">
        <v>2</v>
      </c>
      <c r="AZ253" s="5"/>
      <c r="BA253" s="5">
        <f t="shared" si="9"/>
        <v>7</v>
      </c>
      <c r="BB253" s="28" t="s">
        <v>14</v>
      </c>
      <c r="BC253" s="5"/>
    </row>
    <row r="254" spans="1:55" s="8" customFormat="1" ht="11.25">
      <c r="A254" s="19" t="s">
        <v>246</v>
      </c>
      <c r="B254" s="9" t="s">
        <v>12</v>
      </c>
      <c r="C254" s="9" t="s">
        <v>40</v>
      </c>
      <c r="D254" s="5"/>
      <c r="E254" s="1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11"/>
      <c r="Y254" s="5"/>
      <c r="Z254" s="5"/>
      <c r="AA254" s="5"/>
      <c r="AB254" s="5"/>
      <c r="AC254" s="5"/>
      <c r="AD254" s="5"/>
      <c r="AE254" s="5"/>
      <c r="AF254" s="5"/>
      <c r="AG254" s="5"/>
      <c r="AH254" s="13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>
        <v>1</v>
      </c>
      <c r="AU254" s="5"/>
      <c r="AV254" s="5"/>
      <c r="AW254" s="5"/>
      <c r="AX254" s="5"/>
      <c r="AY254" s="5"/>
      <c r="AZ254" s="5"/>
      <c r="BA254" s="5">
        <f t="shared" si="9"/>
        <v>1</v>
      </c>
      <c r="BB254" s="28" t="s">
        <v>14</v>
      </c>
      <c r="BC254" s="5"/>
    </row>
    <row r="255" spans="1:55" s="9" customFormat="1" ht="11.25">
      <c r="A255" s="19" t="s">
        <v>247</v>
      </c>
      <c r="B255" s="9" t="s">
        <v>60</v>
      </c>
      <c r="C255" s="9" t="s">
        <v>39</v>
      </c>
      <c r="D255" s="5"/>
      <c r="E255" s="1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11"/>
      <c r="Y255" s="5"/>
      <c r="Z255" s="5"/>
      <c r="AA255" s="5"/>
      <c r="AB255" s="5"/>
      <c r="AC255" s="5"/>
      <c r="AD255" s="5"/>
      <c r="AE255" s="5"/>
      <c r="AF255" s="5"/>
      <c r="AG255" s="5"/>
      <c r="AH255" s="13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>
        <v>1</v>
      </c>
      <c r="AT255" s="5"/>
      <c r="AU255" s="5"/>
      <c r="AV255" s="5"/>
      <c r="AW255" s="5"/>
      <c r="AX255" s="5"/>
      <c r="AY255" s="5"/>
      <c r="AZ255" s="5"/>
      <c r="BA255" s="5">
        <f t="shared" si="9"/>
        <v>1</v>
      </c>
      <c r="BB255" s="28" t="s">
        <v>14</v>
      </c>
      <c r="BC255" s="4"/>
    </row>
    <row r="256" spans="1:55" s="9" customFormat="1" ht="11.25">
      <c r="A256" s="19" t="s">
        <v>248</v>
      </c>
      <c r="B256" s="9" t="s">
        <v>259</v>
      </c>
      <c r="C256" s="9" t="s">
        <v>260</v>
      </c>
      <c r="D256" s="5"/>
      <c r="E256" s="13"/>
      <c r="F256" s="5"/>
      <c r="G256" s="5">
        <v>2</v>
      </c>
      <c r="H256" s="5"/>
      <c r="I256" s="5"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11"/>
      <c r="Y256" s="5"/>
      <c r="Z256" s="5"/>
      <c r="AA256" s="5"/>
      <c r="AB256" s="5"/>
      <c r="AC256" s="5"/>
      <c r="AD256" s="5"/>
      <c r="AE256" s="5"/>
      <c r="AF256" s="5"/>
      <c r="AG256" s="5"/>
      <c r="AH256" s="13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>
        <v>1</v>
      </c>
      <c r="AX256" s="5"/>
      <c r="AY256" s="5"/>
      <c r="AZ256" s="5"/>
      <c r="BA256" s="5">
        <f t="shared" si="9"/>
        <v>4</v>
      </c>
      <c r="BB256" s="28" t="s">
        <v>14</v>
      </c>
      <c r="BC256" s="4"/>
    </row>
    <row r="257" spans="1:55" s="8" customFormat="1" ht="11.25">
      <c r="A257" s="19" t="s">
        <v>249</v>
      </c>
      <c r="B257" s="9" t="s">
        <v>18</v>
      </c>
      <c r="C257" s="9" t="s">
        <v>263</v>
      </c>
      <c r="D257" s="4">
        <v>2</v>
      </c>
      <c r="E257" s="1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0"/>
      <c r="Y257" s="4"/>
      <c r="Z257" s="4"/>
      <c r="AA257" s="4"/>
      <c r="AB257" s="4"/>
      <c r="AC257" s="4"/>
      <c r="AD257" s="4"/>
      <c r="AE257" s="4"/>
      <c r="AF257" s="4"/>
      <c r="AG257" s="4"/>
      <c r="AH257" s="13"/>
      <c r="AI257" s="4"/>
      <c r="AJ257" s="4"/>
      <c r="AK257" s="4"/>
      <c r="AL257" s="4"/>
      <c r="AM257" s="4"/>
      <c r="AN257" s="4">
        <v>1</v>
      </c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5">
        <f t="shared" si="9"/>
        <v>3</v>
      </c>
      <c r="BB257" s="28" t="s">
        <v>19</v>
      </c>
      <c r="BC257" s="5"/>
    </row>
    <row r="258" spans="1:55" s="8" customFormat="1" ht="11.25">
      <c r="A258" s="19" t="s">
        <v>250</v>
      </c>
      <c r="B258" s="9" t="s">
        <v>18</v>
      </c>
      <c r="C258" s="9" t="s">
        <v>262</v>
      </c>
      <c r="D258" s="5"/>
      <c r="E258" s="13"/>
      <c r="F258" s="5"/>
      <c r="G258" s="5"/>
      <c r="H258" s="5">
        <v>2</v>
      </c>
      <c r="I258" s="5">
        <v>4</v>
      </c>
      <c r="J258" s="5"/>
      <c r="K258" s="5"/>
      <c r="L258" s="5">
        <v>3</v>
      </c>
      <c r="M258" s="5"/>
      <c r="N258" s="5"/>
      <c r="O258" s="5"/>
      <c r="P258" s="5"/>
      <c r="Q258" s="5"/>
      <c r="R258" s="5"/>
      <c r="S258" s="5"/>
      <c r="T258" s="5"/>
      <c r="U258" s="5"/>
      <c r="V258" s="5">
        <v>2</v>
      </c>
      <c r="W258" s="5"/>
      <c r="X258" s="11"/>
      <c r="Y258" s="5"/>
      <c r="Z258" s="5"/>
      <c r="AA258" s="5"/>
      <c r="AB258" s="5"/>
      <c r="AC258" s="5"/>
      <c r="AD258" s="5"/>
      <c r="AE258" s="5"/>
      <c r="AF258" s="5"/>
      <c r="AG258" s="5"/>
      <c r="AH258" s="13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>
        <v>2</v>
      </c>
      <c r="AZ258" s="5"/>
      <c r="BA258" s="5">
        <f t="shared" si="9"/>
        <v>13</v>
      </c>
      <c r="BB258" s="28" t="s">
        <v>19</v>
      </c>
      <c r="BC258" s="5"/>
    </row>
    <row r="259" spans="1:55" s="9" customFormat="1" ht="11.25">
      <c r="A259" s="19" t="s">
        <v>251</v>
      </c>
      <c r="B259" s="9" t="s">
        <v>17</v>
      </c>
      <c r="C259" s="9" t="s">
        <v>264</v>
      </c>
      <c r="D259" s="5"/>
      <c r="E259" s="13"/>
      <c r="F259" s="5"/>
      <c r="G259" s="5"/>
      <c r="H259" s="5">
        <v>1</v>
      </c>
      <c r="I259" s="5">
        <v>1</v>
      </c>
      <c r="J259" s="5"/>
      <c r="K259" s="5"/>
      <c r="L259" s="5"/>
      <c r="M259" s="5"/>
      <c r="N259" s="5">
        <v>1</v>
      </c>
      <c r="O259" s="5"/>
      <c r="P259" s="5"/>
      <c r="Q259" s="5"/>
      <c r="R259" s="5"/>
      <c r="S259" s="5"/>
      <c r="T259" s="5"/>
      <c r="U259" s="5"/>
      <c r="V259" s="5"/>
      <c r="W259" s="5"/>
      <c r="X259" s="11"/>
      <c r="Y259" s="5"/>
      <c r="Z259" s="5"/>
      <c r="AA259" s="5"/>
      <c r="AB259" s="5"/>
      <c r="AC259" s="5"/>
      <c r="AD259" s="5"/>
      <c r="AE259" s="5"/>
      <c r="AF259" s="5"/>
      <c r="AG259" s="5"/>
      <c r="AH259" s="13"/>
      <c r="AI259" s="5"/>
      <c r="AJ259" s="5"/>
      <c r="AK259" s="5"/>
      <c r="AL259" s="5"/>
      <c r="AM259" s="5"/>
      <c r="AN259" s="5"/>
      <c r="AO259" s="5"/>
      <c r="AP259" s="5">
        <v>1</v>
      </c>
      <c r="AQ259" s="5">
        <v>2</v>
      </c>
      <c r="AR259" s="5">
        <v>2</v>
      </c>
      <c r="AS259" s="5"/>
      <c r="AT259" s="5"/>
      <c r="AU259" s="5"/>
      <c r="AV259" s="5"/>
      <c r="AW259" s="5"/>
      <c r="AX259" s="5"/>
      <c r="AY259" s="5">
        <v>2</v>
      </c>
      <c r="AZ259" s="5"/>
      <c r="BA259" s="5">
        <f t="shared" si="9"/>
        <v>10</v>
      </c>
      <c r="BB259" s="28" t="s">
        <v>14</v>
      </c>
      <c r="BC259" s="4"/>
    </row>
    <row r="260" spans="1:55" s="9" customFormat="1" ht="11.25">
      <c r="A260" s="19" t="s">
        <v>252</v>
      </c>
      <c r="B260" s="9" t="s">
        <v>102</v>
      </c>
      <c r="C260" s="9" t="s">
        <v>133</v>
      </c>
      <c r="D260" s="5"/>
      <c r="E260" s="13"/>
      <c r="F260" s="5"/>
      <c r="G260" s="5">
        <v>3</v>
      </c>
      <c r="H260" s="5">
        <v>1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11"/>
      <c r="Y260" s="5"/>
      <c r="Z260" s="5"/>
      <c r="AA260" s="5"/>
      <c r="AB260" s="5"/>
      <c r="AC260" s="5"/>
      <c r="AD260" s="5"/>
      <c r="AE260" s="5"/>
      <c r="AF260" s="5"/>
      <c r="AG260" s="5"/>
      <c r="AH260" s="13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>
        <v>1</v>
      </c>
      <c r="AU260" s="5"/>
      <c r="AV260" s="5"/>
      <c r="AW260" s="5"/>
      <c r="AX260" s="5"/>
      <c r="AY260" s="5"/>
      <c r="AZ260" s="5"/>
      <c r="BA260" s="5">
        <f t="shared" si="9"/>
        <v>5</v>
      </c>
      <c r="BB260" s="28" t="s">
        <v>14</v>
      </c>
      <c r="BC260" s="4"/>
    </row>
    <row r="261" spans="1:55" s="9" customFormat="1" ht="11.25">
      <c r="A261" s="19" t="s">
        <v>253</v>
      </c>
      <c r="B261" s="8" t="s">
        <v>51</v>
      </c>
      <c r="C261" s="8" t="s">
        <v>41</v>
      </c>
      <c r="D261" s="5">
        <v>40</v>
      </c>
      <c r="E261" s="5">
        <v>1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11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>
        <f t="shared" si="9"/>
        <v>41</v>
      </c>
      <c r="BB261" s="28" t="s">
        <v>14</v>
      </c>
      <c r="BC261" s="4"/>
    </row>
    <row r="262" spans="1:105" ht="11.25">
      <c r="A262" s="19" t="s">
        <v>254</v>
      </c>
      <c r="B262" s="8" t="s">
        <v>119</v>
      </c>
      <c r="C262" s="8"/>
      <c r="D262" s="5">
        <v>2</v>
      </c>
      <c r="AH262" s="7"/>
      <c r="AI262" s="5"/>
      <c r="AK262" s="5"/>
      <c r="AL262" s="5">
        <v>2</v>
      </c>
      <c r="AM262" s="5"/>
      <c r="AP262" s="5">
        <v>1</v>
      </c>
      <c r="AS262" s="5"/>
      <c r="BA262" s="5">
        <f t="shared" si="9"/>
        <v>5</v>
      </c>
      <c r="BB262" s="28" t="s">
        <v>19</v>
      </c>
      <c r="BC262" s="5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</row>
    <row r="263" spans="1:58" ht="11.25">
      <c r="A263" s="19" t="s">
        <v>255</v>
      </c>
      <c r="B263" s="8" t="s">
        <v>120</v>
      </c>
      <c r="C263" s="8" t="s">
        <v>121</v>
      </c>
      <c r="D263" s="5">
        <v>2</v>
      </c>
      <c r="G263" s="5">
        <v>3</v>
      </c>
      <c r="H263" s="5">
        <v>1</v>
      </c>
      <c r="I263" s="5">
        <v>1</v>
      </c>
      <c r="AH263" s="7"/>
      <c r="AI263" s="5"/>
      <c r="AK263" s="5"/>
      <c r="AL263" s="5">
        <v>1</v>
      </c>
      <c r="AM263" s="5"/>
      <c r="AP263" s="5">
        <v>1</v>
      </c>
      <c r="BA263" s="5">
        <f t="shared" si="9"/>
        <v>9</v>
      </c>
      <c r="BB263" s="28" t="s">
        <v>14</v>
      </c>
      <c r="BC263" s="5"/>
      <c r="BD263" s="8"/>
      <c r="BE263" s="8"/>
      <c r="BF263" s="8"/>
    </row>
    <row r="264" spans="1:58" ht="11.25">
      <c r="A264" s="19" t="s">
        <v>256</v>
      </c>
      <c r="B264" s="8" t="s">
        <v>270</v>
      </c>
      <c r="C264" s="8"/>
      <c r="AH264" s="7"/>
      <c r="AI264" s="5"/>
      <c r="AK264" s="5"/>
      <c r="AM264" s="5"/>
      <c r="AV264" s="5">
        <v>1</v>
      </c>
      <c r="BA264" s="5">
        <f t="shared" si="9"/>
        <v>1</v>
      </c>
      <c r="BB264" s="28" t="s">
        <v>14</v>
      </c>
      <c r="BC264" s="5"/>
      <c r="BD264" s="8"/>
      <c r="BE264" s="8"/>
      <c r="BF264" s="8"/>
    </row>
    <row r="265" spans="1:55" s="9" customFormat="1" ht="12" thickBot="1">
      <c r="A265" s="19" t="s">
        <v>257</v>
      </c>
      <c r="B265" s="9" t="s">
        <v>267</v>
      </c>
      <c r="C265" s="9" t="s">
        <v>281</v>
      </c>
      <c r="D265" s="4">
        <v>5</v>
      </c>
      <c r="E265" s="13"/>
      <c r="F265" s="4"/>
      <c r="G265" s="4">
        <v>5</v>
      </c>
      <c r="H265" s="4"/>
      <c r="I265" s="4"/>
      <c r="J265" s="4"/>
      <c r="K265" s="4"/>
      <c r="L265" s="4">
        <v>10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0"/>
      <c r="Y265" s="4"/>
      <c r="Z265" s="4"/>
      <c r="AA265" s="4"/>
      <c r="AB265" s="4"/>
      <c r="AC265" s="4"/>
      <c r="AD265" s="4"/>
      <c r="AE265" s="4"/>
      <c r="AF265" s="4"/>
      <c r="AG265" s="4"/>
      <c r="AH265" s="13"/>
      <c r="AI265" s="4"/>
      <c r="AJ265" s="4"/>
      <c r="AK265" s="4"/>
      <c r="AL265" s="4">
        <v>2</v>
      </c>
      <c r="AM265" s="4">
        <v>2</v>
      </c>
      <c r="AN265" s="4">
        <v>2</v>
      </c>
      <c r="AO265" s="4">
        <v>2</v>
      </c>
      <c r="AP265" s="4"/>
      <c r="AQ265" s="4"/>
      <c r="AR265" s="4">
        <v>2</v>
      </c>
      <c r="AS265" s="4"/>
      <c r="AT265" s="4"/>
      <c r="AU265" s="4"/>
      <c r="AV265" s="4"/>
      <c r="AW265" s="4"/>
      <c r="AX265" s="4"/>
      <c r="AY265" s="4"/>
      <c r="AZ265" s="4"/>
      <c r="BA265" s="5">
        <f t="shared" si="9"/>
        <v>30</v>
      </c>
      <c r="BB265" s="28" t="s">
        <v>14</v>
      </c>
      <c r="BC265" s="4"/>
    </row>
    <row r="266" spans="1:58" ht="11.25" hidden="1">
      <c r="A266" s="20"/>
      <c r="B266" s="8"/>
      <c r="C266" s="8"/>
      <c r="AH266" s="7"/>
      <c r="AI266" s="5"/>
      <c r="AK266" s="5"/>
      <c r="AM266" s="5"/>
      <c r="BC266" s="5"/>
      <c r="BD266" s="8"/>
      <c r="BE266" s="8"/>
      <c r="BF266" s="8"/>
    </row>
    <row r="267" spans="1:58" ht="11.25" hidden="1">
      <c r="A267" s="20"/>
      <c r="B267" s="8"/>
      <c r="C267" s="8"/>
      <c r="AH267" s="7"/>
      <c r="AI267" s="5"/>
      <c r="AK267" s="5"/>
      <c r="AM267" s="5"/>
      <c r="BC267" s="5"/>
      <c r="BD267" s="8"/>
      <c r="BE267" s="8"/>
      <c r="BF267" s="8"/>
    </row>
    <row r="268" spans="1:58" ht="11.25" hidden="1">
      <c r="A268" s="20"/>
      <c r="B268" s="8"/>
      <c r="C268" s="8"/>
      <c r="AH268" s="7"/>
      <c r="AI268" s="5"/>
      <c r="AK268" s="5"/>
      <c r="AM268" s="5"/>
      <c r="BC268" s="5"/>
      <c r="BD268" s="8"/>
      <c r="BE268" s="8"/>
      <c r="BF268" s="8"/>
    </row>
    <row r="269" spans="1:58" ht="11.25" hidden="1">
      <c r="A269" s="20"/>
      <c r="B269" s="8"/>
      <c r="C269" s="8"/>
      <c r="AH269" s="7"/>
      <c r="AI269" s="5"/>
      <c r="AK269" s="5"/>
      <c r="AM269" s="5"/>
      <c r="BC269" s="5"/>
      <c r="BD269" s="8"/>
      <c r="BE269" s="8"/>
      <c r="BF269" s="8"/>
    </row>
    <row r="270" spans="1:58" ht="11.25" hidden="1">
      <c r="A270" s="20"/>
      <c r="B270" s="8"/>
      <c r="C270" s="8"/>
      <c r="AH270" s="7"/>
      <c r="AI270" s="5"/>
      <c r="AK270" s="5"/>
      <c r="AM270" s="5"/>
      <c r="BC270" s="5"/>
      <c r="BD270" s="8"/>
      <c r="BE270" s="8"/>
      <c r="BF270" s="8"/>
    </row>
    <row r="271" spans="1:58" ht="11.25" hidden="1">
      <c r="A271" s="20"/>
      <c r="B271" s="8"/>
      <c r="C271" s="8"/>
      <c r="AH271" s="7"/>
      <c r="AI271" s="5"/>
      <c r="AK271" s="5"/>
      <c r="AM271" s="5"/>
      <c r="BC271" s="5"/>
      <c r="BD271" s="8"/>
      <c r="BE271" s="8"/>
      <c r="BF271" s="8"/>
    </row>
    <row r="272" spans="1:58" ht="11.25" hidden="1">
      <c r="A272" s="20"/>
      <c r="B272" s="8"/>
      <c r="C272" s="8"/>
      <c r="AH272" s="7"/>
      <c r="AI272" s="5"/>
      <c r="AK272" s="5"/>
      <c r="AM272" s="5"/>
      <c r="BC272" s="5"/>
      <c r="BD272" s="8"/>
      <c r="BE272" s="8"/>
      <c r="BF272" s="8"/>
    </row>
    <row r="273" spans="1:58" ht="11.25" hidden="1">
      <c r="A273" s="20"/>
      <c r="B273" s="8"/>
      <c r="C273" s="8"/>
      <c r="AH273" s="7"/>
      <c r="AI273" s="5"/>
      <c r="AK273" s="5"/>
      <c r="AM273" s="5"/>
      <c r="BC273" s="5"/>
      <c r="BD273" s="8"/>
      <c r="BE273" s="8"/>
      <c r="BF273" s="8"/>
    </row>
    <row r="274" spans="1:58" ht="11.25" hidden="1">
      <c r="A274" s="20"/>
      <c r="B274" s="8"/>
      <c r="C274" s="8"/>
      <c r="AH274" s="7"/>
      <c r="AI274" s="5"/>
      <c r="AK274" s="5"/>
      <c r="AM274" s="5"/>
      <c r="BC274" s="5"/>
      <c r="BD274" s="8"/>
      <c r="BE274" s="8"/>
      <c r="BF274" s="8"/>
    </row>
    <row r="275" spans="1:58" ht="11.25" hidden="1">
      <c r="A275" s="20"/>
      <c r="B275" s="8"/>
      <c r="C275" s="8"/>
      <c r="AH275" s="7"/>
      <c r="AI275" s="5"/>
      <c r="AK275" s="5"/>
      <c r="AM275" s="5"/>
      <c r="BC275" s="5"/>
      <c r="BD275" s="8"/>
      <c r="BE275" s="8"/>
      <c r="BF275" s="8"/>
    </row>
    <row r="276" spans="1:58" ht="11.25" hidden="1">
      <c r="A276" s="20"/>
      <c r="B276" s="8"/>
      <c r="C276" s="8"/>
      <c r="AH276" s="7"/>
      <c r="AI276" s="5"/>
      <c r="AK276" s="5"/>
      <c r="AM276" s="5"/>
      <c r="BC276" s="5"/>
      <c r="BD276" s="8"/>
      <c r="BE276" s="8"/>
      <c r="BF276" s="8"/>
    </row>
    <row r="277" spans="1:58" ht="11.25" hidden="1">
      <c r="A277" s="20"/>
      <c r="B277" s="8"/>
      <c r="C277" s="8"/>
      <c r="AH277" s="7"/>
      <c r="AI277" s="5"/>
      <c r="AK277" s="5"/>
      <c r="AM277" s="5"/>
      <c r="BC277" s="5"/>
      <c r="BD277" s="8"/>
      <c r="BE277" s="8"/>
      <c r="BF277" s="8"/>
    </row>
    <row r="278" spans="1:58" ht="11.25" hidden="1">
      <c r="A278" s="20"/>
      <c r="B278" s="8"/>
      <c r="C278" s="8"/>
      <c r="AH278" s="7"/>
      <c r="AI278" s="5"/>
      <c r="AK278" s="5"/>
      <c r="AM278" s="5"/>
      <c r="BC278" s="5"/>
      <c r="BD278" s="8"/>
      <c r="BE278" s="8"/>
      <c r="BF278" s="8"/>
    </row>
    <row r="279" spans="1:58" ht="11.25" hidden="1">
      <c r="A279" s="20"/>
      <c r="B279" s="8"/>
      <c r="C279" s="8"/>
      <c r="AH279" s="7"/>
      <c r="AI279" s="5"/>
      <c r="AK279" s="5"/>
      <c r="AM279" s="5"/>
      <c r="BC279" s="5"/>
      <c r="BD279" s="8"/>
      <c r="BE279" s="8"/>
      <c r="BF279" s="8"/>
    </row>
    <row r="280" spans="1:58" ht="11.25" hidden="1">
      <c r="A280" s="20"/>
      <c r="B280" s="8"/>
      <c r="C280" s="8"/>
      <c r="AH280" s="7"/>
      <c r="AI280" s="5"/>
      <c r="AK280" s="5"/>
      <c r="AM280" s="5"/>
      <c r="BC280" s="5"/>
      <c r="BD280" s="8"/>
      <c r="BE280" s="8"/>
      <c r="BF280" s="8"/>
    </row>
    <row r="281" spans="1:58" ht="11.25" hidden="1">
      <c r="A281" s="20"/>
      <c r="B281" s="8"/>
      <c r="C281" s="8"/>
      <c r="AH281" s="7"/>
      <c r="AI281" s="5"/>
      <c r="AK281" s="5"/>
      <c r="AM281" s="5"/>
      <c r="BC281" s="5"/>
      <c r="BD281" s="8"/>
      <c r="BE281" s="8"/>
      <c r="BF281" s="8"/>
    </row>
    <row r="282" spans="1:58" ht="11.25" hidden="1">
      <c r="A282" s="20"/>
      <c r="B282" s="8"/>
      <c r="C282" s="8"/>
      <c r="AH282" s="7"/>
      <c r="AI282" s="5"/>
      <c r="AK282" s="5"/>
      <c r="AM282" s="5"/>
      <c r="BC282" s="5"/>
      <c r="BD282" s="8"/>
      <c r="BE282" s="8"/>
      <c r="BF282" s="8"/>
    </row>
    <row r="283" spans="1:58" ht="11.25" hidden="1">
      <c r="A283" s="20"/>
      <c r="B283" s="8"/>
      <c r="C283" s="8"/>
      <c r="AH283" s="7"/>
      <c r="AI283" s="5"/>
      <c r="AK283" s="5"/>
      <c r="AM283" s="5"/>
      <c r="BC283" s="5"/>
      <c r="BD283" s="8"/>
      <c r="BE283" s="8"/>
      <c r="BF283" s="8"/>
    </row>
    <row r="284" spans="34:58" ht="11.25" hidden="1">
      <c r="AH284" s="7"/>
      <c r="AI284" s="5"/>
      <c r="AK284" s="5"/>
      <c r="AM284" s="5"/>
      <c r="BC284" s="5"/>
      <c r="BD284" s="8"/>
      <c r="BE284" s="8"/>
      <c r="BF284" s="8"/>
    </row>
    <row r="285" spans="34:58" ht="11.25" hidden="1">
      <c r="AH285" s="7"/>
      <c r="AI285" s="5"/>
      <c r="AK285" s="5"/>
      <c r="AM285" s="5"/>
      <c r="BC285" s="5"/>
      <c r="BD285" s="8"/>
      <c r="BE285" s="8"/>
      <c r="BF285" s="8"/>
    </row>
    <row r="286" spans="34:58" ht="11.25" hidden="1">
      <c r="AH286" s="7"/>
      <c r="AI286" s="5"/>
      <c r="AK286" s="5"/>
      <c r="AM286" s="5"/>
      <c r="BC286" s="5"/>
      <c r="BD286" s="8"/>
      <c r="BE286" s="8"/>
      <c r="BF286" s="8"/>
    </row>
    <row r="287" spans="34:58" ht="11.25" hidden="1">
      <c r="AH287" s="7"/>
      <c r="AI287" s="5"/>
      <c r="AK287" s="5"/>
      <c r="AM287" s="5"/>
      <c r="BC287" s="5"/>
      <c r="BD287" s="8"/>
      <c r="BE287" s="8"/>
      <c r="BF287" s="8"/>
    </row>
    <row r="288" spans="34:58" ht="11.25" hidden="1">
      <c r="AH288" s="7"/>
      <c r="AI288" s="5"/>
      <c r="AK288" s="5"/>
      <c r="AM288" s="5"/>
      <c r="BC288" s="5"/>
      <c r="BD288" s="8"/>
      <c r="BE288" s="8"/>
      <c r="BF288" s="8"/>
    </row>
    <row r="289" spans="34:58" ht="11.25" hidden="1">
      <c r="AH289" s="7"/>
      <c r="AI289" s="5"/>
      <c r="AK289" s="5"/>
      <c r="AM289" s="5"/>
      <c r="BC289" s="5"/>
      <c r="BD289" s="8"/>
      <c r="BE289" s="8"/>
      <c r="BF289" s="8"/>
    </row>
    <row r="290" spans="34:58" ht="11.25" hidden="1">
      <c r="AH290" s="7"/>
      <c r="AI290" s="5"/>
      <c r="AK290" s="5"/>
      <c r="AM290" s="5"/>
      <c r="BC290" s="5"/>
      <c r="BD290" s="8"/>
      <c r="BE290" s="8"/>
      <c r="BF290" s="8"/>
    </row>
    <row r="291" spans="34:58" ht="11.25" hidden="1">
      <c r="AH291" s="7"/>
      <c r="AI291" s="5"/>
      <c r="AK291" s="5"/>
      <c r="AM291" s="5"/>
      <c r="BC291" s="5"/>
      <c r="BD291" s="8"/>
      <c r="BE291" s="8"/>
      <c r="BF291" s="8"/>
    </row>
    <row r="292" spans="34:58" ht="11.25" hidden="1">
      <c r="AH292" s="7"/>
      <c r="AI292" s="5"/>
      <c r="AK292" s="5"/>
      <c r="AM292" s="5"/>
      <c r="BC292" s="5"/>
      <c r="BD292" s="8"/>
      <c r="BE292" s="8"/>
      <c r="BF292" s="8"/>
    </row>
    <row r="293" spans="34:58" ht="11.25" hidden="1">
      <c r="AH293" s="7"/>
      <c r="AI293" s="5"/>
      <c r="AK293" s="5"/>
      <c r="AM293" s="5"/>
      <c r="BC293" s="5"/>
      <c r="BD293" s="8"/>
      <c r="BE293" s="8"/>
      <c r="BF293" s="8"/>
    </row>
    <row r="294" spans="34:58" ht="11.25" hidden="1">
      <c r="AH294" s="7"/>
      <c r="AI294" s="5"/>
      <c r="AK294" s="5"/>
      <c r="AM294" s="5"/>
      <c r="BC294" s="5"/>
      <c r="BD294" s="8"/>
      <c r="BE294" s="8"/>
      <c r="BF294" s="8"/>
    </row>
    <row r="295" spans="34:58" ht="11.25" hidden="1">
      <c r="AH295" s="7"/>
      <c r="AI295" s="5"/>
      <c r="AK295" s="5"/>
      <c r="AM295" s="5"/>
      <c r="BC295" s="5"/>
      <c r="BD295" s="8"/>
      <c r="BE295" s="8"/>
      <c r="BF295" s="8"/>
    </row>
    <row r="296" spans="34:58" ht="11.25" hidden="1">
      <c r="AH296" s="7"/>
      <c r="AI296" s="5"/>
      <c r="AK296" s="5"/>
      <c r="AM296" s="5"/>
      <c r="BC296" s="5"/>
      <c r="BD296" s="8"/>
      <c r="BE296" s="8"/>
      <c r="BF296" s="8"/>
    </row>
    <row r="297" spans="34:58" ht="11.25" hidden="1">
      <c r="AH297" s="7"/>
      <c r="AI297" s="5"/>
      <c r="AK297" s="5"/>
      <c r="AM297" s="5"/>
      <c r="BC297" s="5"/>
      <c r="BD297" s="8"/>
      <c r="BE297" s="8"/>
      <c r="BF297" s="8"/>
    </row>
    <row r="298" spans="34:58" ht="11.25" hidden="1">
      <c r="AH298" s="7"/>
      <c r="AI298" s="5"/>
      <c r="AK298" s="5"/>
      <c r="AM298" s="5"/>
      <c r="BC298" s="5"/>
      <c r="BD298" s="8"/>
      <c r="BE298" s="8"/>
      <c r="BF298" s="8"/>
    </row>
    <row r="299" spans="34:58" ht="11.25" hidden="1">
      <c r="AH299" s="7"/>
      <c r="AI299" s="5"/>
      <c r="AK299" s="5"/>
      <c r="AM299" s="5"/>
      <c r="BC299" s="5"/>
      <c r="BD299" s="8"/>
      <c r="BE299" s="8"/>
      <c r="BF299" s="8"/>
    </row>
    <row r="300" spans="34:58" ht="11.25" hidden="1">
      <c r="AH300" s="7"/>
      <c r="AI300" s="5"/>
      <c r="AK300" s="5"/>
      <c r="AM300" s="5"/>
      <c r="BC300" s="5"/>
      <c r="BD300" s="8"/>
      <c r="BE300" s="8"/>
      <c r="BF300" s="8"/>
    </row>
    <row r="301" spans="34:58" ht="11.25" hidden="1">
      <c r="AH301" s="7"/>
      <c r="AI301" s="5"/>
      <c r="AK301" s="5"/>
      <c r="AM301" s="5"/>
      <c r="BC301" s="5"/>
      <c r="BD301" s="8"/>
      <c r="BE301" s="8"/>
      <c r="BF301" s="8"/>
    </row>
    <row r="302" spans="34:58" ht="11.25" hidden="1">
      <c r="AH302" s="7"/>
      <c r="AI302" s="5"/>
      <c r="AK302" s="5"/>
      <c r="AM302" s="5"/>
      <c r="BC302" s="5"/>
      <c r="BD302" s="8"/>
      <c r="BE302" s="8"/>
      <c r="BF302" s="8"/>
    </row>
    <row r="303" spans="34:58" ht="11.25" hidden="1">
      <c r="AH303" s="7"/>
      <c r="AI303" s="5"/>
      <c r="AK303" s="5"/>
      <c r="AM303" s="5"/>
      <c r="BC303" s="5"/>
      <c r="BD303" s="8"/>
      <c r="BE303" s="8"/>
      <c r="BF303" s="8"/>
    </row>
    <row r="304" spans="34:58" ht="11.25" hidden="1">
      <c r="AH304" s="7"/>
      <c r="AI304" s="5"/>
      <c r="AK304" s="5"/>
      <c r="AM304" s="5"/>
      <c r="BC304" s="5"/>
      <c r="BD304" s="8"/>
      <c r="BE304" s="8"/>
      <c r="BF304" s="8"/>
    </row>
    <row r="305" spans="34:58" ht="11.25" hidden="1">
      <c r="AH305" s="7"/>
      <c r="AI305" s="5"/>
      <c r="AK305" s="5"/>
      <c r="AM305" s="5"/>
      <c r="BC305" s="5"/>
      <c r="BD305" s="8"/>
      <c r="BE305" s="8"/>
      <c r="BF305" s="8"/>
    </row>
    <row r="306" spans="34:58" ht="11.25" hidden="1">
      <c r="AH306" s="7"/>
      <c r="AI306" s="5"/>
      <c r="AK306" s="5"/>
      <c r="AM306" s="5"/>
      <c r="BC306" s="5"/>
      <c r="BD306" s="8"/>
      <c r="BE306" s="8"/>
      <c r="BF306" s="8"/>
    </row>
    <row r="307" spans="34:58" ht="11.25" hidden="1">
      <c r="AH307" s="7"/>
      <c r="AI307" s="5"/>
      <c r="AK307" s="5"/>
      <c r="AM307" s="5"/>
      <c r="BC307" s="5"/>
      <c r="BD307" s="8"/>
      <c r="BE307" s="8"/>
      <c r="BF307" s="8"/>
    </row>
    <row r="308" spans="34:58" ht="11.25" hidden="1">
      <c r="AH308" s="7"/>
      <c r="AI308" s="5"/>
      <c r="AK308" s="5"/>
      <c r="AM308" s="5"/>
      <c r="BC308" s="5"/>
      <c r="BD308" s="8"/>
      <c r="BE308" s="8"/>
      <c r="BF308" s="8"/>
    </row>
    <row r="309" spans="34:58" ht="11.25" hidden="1">
      <c r="AH309" s="7"/>
      <c r="AI309" s="5"/>
      <c r="AK309" s="5"/>
      <c r="AM309" s="5"/>
      <c r="BC309" s="5"/>
      <c r="BD309" s="8"/>
      <c r="BE309" s="8"/>
      <c r="BF309" s="8"/>
    </row>
    <row r="310" spans="34:58" ht="11.25" hidden="1">
      <c r="AH310" s="7"/>
      <c r="AI310" s="5"/>
      <c r="AK310" s="5"/>
      <c r="AM310" s="5"/>
      <c r="BC310" s="5"/>
      <c r="BD310" s="8"/>
      <c r="BE310" s="8"/>
      <c r="BF310" s="8"/>
    </row>
    <row r="311" spans="34:58" ht="11.25" hidden="1">
      <c r="AH311" s="7"/>
      <c r="AI311" s="5"/>
      <c r="AK311" s="5"/>
      <c r="AM311" s="5"/>
      <c r="BC311" s="5"/>
      <c r="BD311" s="8"/>
      <c r="BE311" s="8"/>
      <c r="BF311" s="8"/>
    </row>
    <row r="312" spans="34:58" ht="11.25" hidden="1">
      <c r="AH312" s="7"/>
      <c r="AI312" s="5"/>
      <c r="AK312" s="5"/>
      <c r="AM312" s="5"/>
      <c r="BC312" s="5"/>
      <c r="BD312" s="8"/>
      <c r="BE312" s="8"/>
      <c r="BF312" s="8"/>
    </row>
    <row r="313" spans="34:58" ht="11.25" hidden="1">
      <c r="AH313" s="7"/>
      <c r="AI313" s="5"/>
      <c r="AK313" s="5"/>
      <c r="AM313" s="5"/>
      <c r="BC313" s="5"/>
      <c r="BD313" s="8"/>
      <c r="BE313" s="8"/>
      <c r="BF313" s="8"/>
    </row>
    <row r="314" spans="34:58" ht="11.25" hidden="1">
      <c r="AH314" s="7"/>
      <c r="AI314" s="5"/>
      <c r="AK314" s="5"/>
      <c r="AM314" s="5"/>
      <c r="BC314" s="5"/>
      <c r="BD314" s="8"/>
      <c r="BE314" s="8"/>
      <c r="BF314" s="8"/>
    </row>
    <row r="315" spans="34:58" ht="11.25" hidden="1">
      <c r="AH315" s="7"/>
      <c r="AI315" s="5"/>
      <c r="AK315" s="5"/>
      <c r="AM315" s="5"/>
      <c r="BC315" s="5"/>
      <c r="BD315" s="8"/>
      <c r="BE315" s="8"/>
      <c r="BF315" s="8"/>
    </row>
    <row r="316" spans="34:58" ht="11.25" hidden="1">
      <c r="AH316" s="7"/>
      <c r="AI316" s="5"/>
      <c r="AK316" s="5"/>
      <c r="AM316" s="5"/>
      <c r="BC316" s="5"/>
      <c r="BD316" s="8"/>
      <c r="BE316" s="8"/>
      <c r="BF316" s="8"/>
    </row>
    <row r="317" spans="34:58" ht="11.25" hidden="1">
      <c r="AH317" s="7"/>
      <c r="AI317" s="5"/>
      <c r="AK317" s="5"/>
      <c r="AM317" s="5"/>
      <c r="BC317" s="5"/>
      <c r="BD317" s="8"/>
      <c r="BE317" s="8"/>
      <c r="BF317" s="8"/>
    </row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>
      <c r="BD928" s="29"/>
    </row>
    <row r="929" spans="1:57" ht="14.25" thickBot="1" thickTop="1">
      <c r="A929" s="34" t="s">
        <v>289</v>
      </c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0"/>
      <c r="BE929" s="25"/>
    </row>
    <row r="930" ht="12" hidden="1" thickTop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2" thickTop="1"/>
  </sheetData>
  <sheetProtection/>
  <mergeCells count="3">
    <mergeCell ref="A1:BD1"/>
    <mergeCell ref="BA3:BB3"/>
    <mergeCell ref="A929:BC9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2017-03-03T11:13:42Z</cp:lastPrinted>
  <dcterms:created xsi:type="dcterms:W3CDTF">1999-04-28T20:01:57Z</dcterms:created>
  <dcterms:modified xsi:type="dcterms:W3CDTF">2017-03-03T11:14:00Z</dcterms:modified>
  <cp:category/>
  <cp:version/>
  <cp:contentType/>
  <cp:contentStatus/>
</cp:coreProperties>
</file>