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/>
  <calcPr fullCalcOnLoad="1"/>
</workbook>
</file>

<file path=xl/sharedStrings.xml><?xml version="1.0" encoding="utf-8"?>
<sst xmlns="http://schemas.openxmlformats.org/spreadsheetml/2006/main" count="690" uniqueCount="261">
  <si>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</si>
  <si>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</si>
  <si>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</si>
  <si>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</si>
  <si>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</si>
  <si>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</si>
  <si>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</si>
  <si>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</si>
  <si>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</si>
  <si>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</si>
  <si>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</si>
  <si>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</si>
  <si>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</si>
  <si>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</si>
  <si>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</si>
  <si>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</si>
  <si>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</si>
  <si>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</si>
  <si>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</si>
  <si>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</si>
  <si>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</si>
  <si>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</si>
  <si>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</si>
  <si>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</si>
  <si>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</si>
  <si>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</si>
  <si>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</si>
  <si>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</si>
  <si>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</si>
  <si>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</si>
  <si>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</si>
  <si>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</si>
  <si>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</si>
  <si>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</si>
  <si>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</si>
  <si>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</si>
  <si>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</si>
  <si>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</si>
  <si>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</si>
  <si>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</si>
  <si>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</si>
  <si>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</si>
  <si>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</si>
  <si>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</si>
  <si>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</si>
  <si>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</si>
  <si>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</si>
  <si>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</si>
  <si>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</si>
  <si>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PENTEL ULTRA FINE KÉK</t>
  </si>
  <si>
    <t>LC5 / FEHÉR SZÍNŰ</t>
  </si>
  <si>
    <t>LC6 / FEHÉR SZÍNŰ</t>
  </si>
  <si>
    <t>GOLYÓSTOLL (SIGNETTA) OLCSÓ</t>
  </si>
  <si>
    <t>VÁGOTTHEGYŰ-FEKETE</t>
  </si>
  <si>
    <t>25 MM-ES (12db/dob.)</t>
  </si>
  <si>
    <t>19 MM-ES (12db/dob.)</t>
  </si>
  <si>
    <t>15 MM-ES (12db/dob.)</t>
  </si>
  <si>
    <t>32 MM-ES (12db/dob.)</t>
  </si>
  <si>
    <t>ZSEBNOTESZ (SPIRÁLFŰZÉSES)</t>
  </si>
  <si>
    <t>PAPÍRSZALVÉTA (FEHÉR SZÍNŰ)</t>
  </si>
  <si>
    <t>MINŐSÉGI !</t>
  </si>
  <si>
    <t>KÖTÖZŐZSINEG</t>
  </si>
  <si>
    <t>A/4 / SZÍNES</t>
  </si>
  <si>
    <t xml:space="preserve">MŰANYAG, OLDALT PATENTOS TASAK </t>
  </si>
  <si>
    <t>GENOTHERMA (2 OLDALON FELNYÍLÓ) A/4</t>
  </si>
  <si>
    <t>SZÖVEGKIEMELŐ (FABER CASTELL TEXTLINER)</t>
  </si>
  <si>
    <t xml:space="preserve">GOLYÓSTOLL (SOLIDLY) </t>
  </si>
  <si>
    <t>ETIKETT CIMKE A/4</t>
  </si>
  <si>
    <t>TŰZŐGÉP (KIS KAPCSOS) JÓ MINŐSÉGŰ !</t>
  </si>
  <si>
    <t>FEHÉR SZÍNŰ HÁTLAPPAL</t>
  </si>
  <si>
    <t>GENOTHERMA (LEFŰZHETŐS) VÍZTISZTA !</t>
  </si>
  <si>
    <t>LEFŰZHETŐ(VASTAG-ÁTLÁTSZÓ)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</si>
  <si>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</si>
  <si>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</si>
  <si>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</si>
  <si>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</si>
  <si>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</si>
  <si>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</si>
  <si>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</si>
  <si>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</si>
  <si>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</si>
  <si>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</si>
  <si>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</si>
  <si>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</si>
  <si>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</si>
  <si>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</si>
  <si>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</si>
  <si>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</si>
  <si>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GOLYÓSTOLL (4 SZÍNŰ)</t>
  </si>
  <si>
    <t>KLASSZIKUS</t>
  </si>
  <si>
    <t>ZÖLD SZÍNŰ 5 CM-ES</t>
  </si>
  <si>
    <t>PIROS SZÍNŰ HÁTLAPPAL</t>
  </si>
  <si>
    <t>ZÖLD SZÍNŰ HÁTLAPPAL</t>
  </si>
  <si>
    <t>SÖTÉTKÉK SZÍNŰ HÁTLAPPAL</t>
  </si>
  <si>
    <t>FEKETE SZÍNŰ BETÉTTEL</t>
  </si>
  <si>
    <t>ZÖLD SZÍNŰ 7,5 CM-ES</t>
  </si>
  <si>
    <t>RAGASZTÓ (PILLANATRAGASZTÓ)</t>
  </si>
  <si>
    <t>ZÖLD</t>
  </si>
  <si>
    <t>GOLYÓSTOLL BETÉT (ZEBRA F301) RÚGÓS</t>
  </si>
  <si>
    <t>TC4 / FEHÉR SZÍNŰ</t>
  </si>
  <si>
    <t>CERUZAHEGYEZŐ (ASZTALI-KÉZI TEKERŐS)</t>
  </si>
  <si>
    <t>JOBB MINŐSÉGŰ !</t>
  </si>
  <si>
    <t>A/4 ÁLLÓ HELYZETŰ</t>
  </si>
  <si>
    <t>GOLYÓSTOLL (ÜGYFELES)</t>
  </si>
  <si>
    <t>FEHÉR SZÍNŰ 7, 5 CM-ES</t>
  </si>
  <si>
    <t>GÉMKAPOCS TARTÓ (NAGY MÉRETŰ)</t>
  </si>
  <si>
    <t>MÁGNESES</t>
  </si>
  <si>
    <t>ASZTALRA VÍZSZINTESEN HELYEZHETŐ !</t>
  </si>
  <si>
    <t>KÉK SZÍNŰ 7,5 CM-ES</t>
  </si>
  <si>
    <t>SÁRGA SZÍNŰ 7,5 CM-ES</t>
  </si>
  <si>
    <t>ZSEBSZÁMOLÓGÉP</t>
  </si>
  <si>
    <t>CASIO MS-205</t>
  </si>
  <si>
    <t>IRATSPIRÁL (MŰANYAG)</t>
  </si>
  <si>
    <t>10MM-ES (FEHÉR)</t>
  </si>
  <si>
    <t>LYUKASZTÓGÉP (SAX)</t>
  </si>
  <si>
    <t>IRATRENDEZŐ (TOKOS) NATÚR</t>
  </si>
  <si>
    <t>LAPSZÉLJELÖLŐ (PAPIRBÓL) 3M POST IT</t>
  </si>
  <si>
    <t>20X50MM ( NEON SZÍNBEN!)</t>
  </si>
  <si>
    <t>PENTEL ULTRA FINE FEKETE</t>
  </si>
  <si>
    <t>VÁGOTTHEGYŰ-KÉK</t>
  </si>
  <si>
    <t>A/3 (80 GRAMM)</t>
  </si>
  <si>
    <t>105X037 MM</t>
  </si>
  <si>
    <t xml:space="preserve">KÉK SZÍNŰ </t>
  </si>
  <si>
    <t>TÉRKÉPTŰ</t>
  </si>
  <si>
    <t>PAPÍRVÁGÓ OLLÓ</t>
  </si>
  <si>
    <t>KÖZEPES MÉRETŰ</t>
  </si>
  <si>
    <t>LAPSZÉLJELÖLŐ 3M POST IT</t>
  </si>
  <si>
    <t>4X20 DB CÍMKE/CSOMAG FÉL INCH SZÉLES</t>
  </si>
  <si>
    <t>RÓZSASZÍN</t>
  </si>
  <si>
    <t>A/4 / FEHÉR SZÍNŰ</t>
  </si>
  <si>
    <t>A/4 / SZÜRKE SZÍNŰ</t>
  </si>
  <si>
    <t>FEKFŐ HELYZETŰ (KB. 30X15CM-ES)</t>
  </si>
  <si>
    <t>ASZTALI NAPTÁRHÁT</t>
  </si>
  <si>
    <t>2016 ÉVRE !</t>
  </si>
  <si>
    <t>ASZTALI NAPTÁR 2016 ÉVRE !</t>
  </si>
  <si>
    <t>FEKFŐ HELYZETŰ (KB. 30X15CM-ES) naptárhoz</t>
  </si>
  <si>
    <t>DARAB MATRICÁS (NEM FOLYAMATOS !)</t>
  </si>
  <si>
    <t>TÉPŐTÖMB (FEHÉR)  KEMÉNY LAPKÁS !</t>
  </si>
  <si>
    <t>BEFŐTTES GUMI</t>
  </si>
  <si>
    <t>cs.</t>
  </si>
  <si>
    <t>ARCHIVÁLÓ KONTÉNER</t>
  </si>
  <si>
    <t>NAGY MÉRETŰ</t>
  </si>
  <si>
    <t>VÁGOTTHEGYŰ-PIROS</t>
  </si>
  <si>
    <t>BŐ  A/4 MÉRET !</t>
  </si>
  <si>
    <t>BÉLYEGZŐPÁRNA FESTÉK (KÉK SZÍNŰ)</t>
  </si>
  <si>
    <t>GOLYÓSTOLL (ZSELÉS) PENTEL MÁRKÁJÚ !</t>
  </si>
  <si>
    <t xml:space="preserve">0,7MM-ES KÉK SZÍNŰ BETÉTTEL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</si>
  <si>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</si>
  <si>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</si>
  <si>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</si>
  <si>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</si>
  <si>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</si>
  <si>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</si>
  <si>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</si>
  <si>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</si>
  <si>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</si>
  <si>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</si>
  <si>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</si>
  <si>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</si>
  <si>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</si>
  <si>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</si>
  <si>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</si>
  <si>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</si>
  <si>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</si>
  <si>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</si>
  <si>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</si>
  <si>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</si>
  <si>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</si>
  <si>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</si>
  <si>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</si>
  <si>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</si>
  <si>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</si>
  <si>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</si>
  <si>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</si>
  <si>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</si>
  <si>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</si>
  <si>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</si>
  <si>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</si>
  <si>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</si>
  <si>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</si>
  <si>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</si>
  <si>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</si>
  <si>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</si>
  <si>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</si>
  <si>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</si>
  <si>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</si>
  <si>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</si>
  <si>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</si>
  <si>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</si>
  <si>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</si>
  <si>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</si>
  <si>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</si>
  <si>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</si>
  <si>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</si>
  <si>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</si>
  <si>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</si>
  <si>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</si>
  <si>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</si>
  <si>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</si>
  <si>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</si>
  <si>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</si>
  <si>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</si>
  <si>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</si>
  <si>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</si>
  <si>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</si>
  <si>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</si>
  <si>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</si>
  <si>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</si>
  <si>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</si>
  <si>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</si>
  <si>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</si>
  <si>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</si>
  <si>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</si>
  <si>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</si>
  <si>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</si>
  <si>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</si>
  <si>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</si>
  <si>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</si>
  <si>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</si>
  <si>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</si>
  <si>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</si>
  <si>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</si>
  <si>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</si>
  <si>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</si>
  <si>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</si>
  <si>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</si>
  <si>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</si>
  <si>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</si>
  <si>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</si>
  <si>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</si>
  <si>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</si>
  <si>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</si>
  <si>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</si>
  <si>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</si>
  <si>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</si>
  <si>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</si>
  <si>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</si>
  <si>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</si>
  <si>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</si>
  <si>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</si>
  <si>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</si>
  <si>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</si>
  <si>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</si>
  <si>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</si>
  <si>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</si>
  <si>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</si>
  <si>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</si>
  <si>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</si>
  <si>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</si>
  <si>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</si>
  <si>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</si>
  <si>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</si>
  <si>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</si>
  <si>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 xml:space="preserve">2016  első féléves írószer árajánlat bekérő </t>
  </si>
  <si>
    <t>sorszám</t>
  </si>
  <si>
    <t>Megnevezés</t>
  </si>
  <si>
    <t>Egyéb megnevezés, méret</t>
  </si>
  <si>
    <t>Mennyiség</t>
  </si>
  <si>
    <t>Egységár(Ft)</t>
  </si>
  <si>
    <t>Érték (Ft)</t>
  </si>
  <si>
    <t>Összesen: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</si>
</sst>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2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C719"/>
  <sheetViews>
    <sheetView tabSelected="1" zoomScale="110" zoomScaleNormal="110" zoomScalePageLayoutView="0" workbookViewId="0" topLeftCell="A1">
      <selection activeCell="A19" sqref="A19:IV19"/>
    </sheetView>
  </sheetViews>
  <sheetFormatPr defaultColWidth="9.00390625" defaultRowHeight="12.75"/>
  <cols>
    <col min="1" max="1" width="7.25390625" style="29" bestFit="1" customWidth="1"/>
    <col min="2" max="2" width="37.875" style="1" customWidth="1"/>
    <col min="3" max="3" width="34.25390625" style="1" customWidth="1"/>
    <col min="4" max="4" width="5.25390625" style="12" hidden="1" customWidth="1"/>
    <col min="5" max="5" width="5.25390625" style="5" hidden="1" customWidth="1"/>
    <col min="6" max="6" width="5.25390625" style="8" hidden="1" customWidth="1"/>
    <col min="7" max="10" width="5.25390625" style="5" hidden="1" customWidth="1"/>
    <col min="11" max="11" width="5.25390625" style="7" hidden="1" customWidth="1"/>
    <col min="12" max="12" width="5.25390625" style="2" hidden="1" customWidth="1"/>
    <col min="13" max="13" width="5.25390625" style="5" hidden="1" customWidth="1"/>
    <col min="14" max="14" width="5.25390625" style="2" hidden="1" customWidth="1"/>
    <col min="15" max="26" width="5.25390625" style="5" hidden="1" customWidth="1"/>
    <col min="27" max="27" width="5.25390625" style="11" hidden="1" customWidth="1"/>
    <col min="28" max="36" width="5.25390625" style="5" hidden="1" customWidth="1"/>
    <col min="37" max="37" width="5.25390625" style="3" hidden="1" customWidth="1"/>
    <col min="38" max="38" width="5.25390625" style="2" hidden="1" customWidth="1"/>
    <col min="39" max="39" width="5.25390625" style="7" hidden="1" customWidth="1"/>
    <col min="40" max="40" width="5.25390625" style="2" hidden="1" customWidth="1"/>
    <col min="41" max="46" width="5.25390625" style="5" hidden="1" customWidth="1"/>
    <col min="47" max="49" width="5.25390625" style="16" hidden="1" customWidth="1"/>
    <col min="50" max="54" width="5.25390625" style="5" hidden="1" customWidth="1"/>
    <col min="55" max="55" width="6.625" style="5" customWidth="1"/>
    <col min="56" max="56" width="5.625" style="34" customWidth="1"/>
    <col min="57" max="57" width="15.125" style="2" customWidth="1"/>
    <col min="58" max="58" width="16.25390625" style="1" customWidth="1"/>
    <col min="59" max="65" width="3.00390625" style="1" hidden="1" customWidth="1"/>
    <col min="66" max="165" width="0" style="1" hidden="1" customWidth="1"/>
    <col min="166" max="16384" width="9.125" style="1" customWidth="1"/>
  </cols>
  <sheetData>
    <row r="1" spans="1:58" ht="12.75">
      <c r="A1" s="42" t="s">
        <v>253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4"/>
    </row>
    <row r="2" spans="1:57" s="9" customFormat="1" ht="11.25" hidden="1">
      <c r="A2" s="26" t="str">
        <f>"09962"</f>
        <v>09962</v>
      </c>
      <c r="B2" s="9" t="str">
        <f>"AJÁNDÉK TASAK"</f>
        <v>AJÁNDÉK TASAK</v>
      </c>
      <c r="D2" s="17"/>
      <c r="E2" s="4"/>
      <c r="F2" s="17" t="s">
        <v>37</v>
      </c>
      <c r="G2" s="17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"/>
      <c r="AB2" s="4"/>
      <c r="AC2" s="4"/>
      <c r="AD2" s="4"/>
      <c r="AE2" s="4"/>
      <c r="AF2" s="4"/>
      <c r="AG2" s="4"/>
      <c r="AH2" s="4"/>
      <c r="AI2" s="4"/>
      <c r="AJ2" s="4"/>
      <c r="AK2" s="6"/>
      <c r="AL2" s="4"/>
      <c r="AM2" s="6"/>
      <c r="AN2" s="4"/>
      <c r="AO2" s="4"/>
      <c r="AP2" s="4"/>
      <c r="AQ2" s="4"/>
      <c r="AR2" s="4"/>
      <c r="AS2" s="4"/>
      <c r="AT2" s="4"/>
      <c r="AU2" s="18"/>
      <c r="AV2" s="18"/>
      <c r="AW2" s="18"/>
      <c r="AX2" s="4"/>
      <c r="AY2" s="4"/>
      <c r="AZ2" s="4"/>
      <c r="BA2" s="4"/>
      <c r="BB2" s="4"/>
      <c r="BC2" s="4"/>
      <c r="BD2" s="32"/>
      <c r="BE2" s="4"/>
    </row>
    <row r="3" spans="1:57" s="9" customFormat="1" ht="11.25" hidden="1">
      <c r="A3" s="26" t="str">
        <f>"07442"</f>
        <v>07442</v>
      </c>
      <c r="B3" s="9" t="str">
        <f>"ALÁÍRÓKÖNYV (A4)"</f>
        <v>ALÁÍRÓKÖNYV (A4)</v>
      </c>
      <c r="C3" s="9" t="str">
        <f>"SAVARIA"</f>
        <v>SAVARIA</v>
      </c>
      <c r="D3" s="17"/>
      <c r="E3" s="4"/>
      <c r="F3" s="17" t="s">
        <v>37</v>
      </c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0"/>
      <c r="AB3" s="4"/>
      <c r="AC3" s="4"/>
      <c r="AD3" s="4"/>
      <c r="AE3" s="4"/>
      <c r="AF3" s="4"/>
      <c r="AG3" s="4"/>
      <c r="AH3" s="4"/>
      <c r="AI3" s="4"/>
      <c r="AJ3" s="4"/>
      <c r="AK3" s="6"/>
      <c r="AL3" s="4"/>
      <c r="AM3" s="6"/>
      <c r="AN3" s="4"/>
      <c r="AO3" s="4"/>
      <c r="AP3" s="4"/>
      <c r="AQ3" s="4"/>
      <c r="AR3" s="4"/>
      <c r="AS3" s="4"/>
      <c r="AT3" s="4"/>
      <c r="AU3" s="18"/>
      <c r="AV3" s="18"/>
      <c r="AW3" s="18"/>
      <c r="AX3" s="4"/>
      <c r="AY3" s="4"/>
      <c r="AZ3" s="4"/>
      <c r="BA3" s="4"/>
      <c r="BB3" s="4"/>
      <c r="BC3" s="4"/>
      <c r="BD3" s="32"/>
      <c r="BE3" s="4"/>
    </row>
    <row r="4" spans="1:57" s="8" customFormat="1" ht="11.25" hidden="1">
      <c r="A4" s="26" t="str">
        <f>"09263"</f>
        <v>09263</v>
      </c>
      <c r="B4" s="9" t="str">
        <f>"ARCHIVÁLÓ KONTÉNER"</f>
        <v>ARCHIVÁLÓ KONTÉNER</v>
      </c>
      <c r="C4" s="9"/>
      <c r="D4" s="20"/>
      <c r="E4" s="5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1"/>
      <c r="AB4" s="5"/>
      <c r="AC4" s="5"/>
      <c r="AD4" s="5"/>
      <c r="AE4" s="5"/>
      <c r="AF4" s="5"/>
      <c r="AG4" s="5"/>
      <c r="AH4" s="5"/>
      <c r="AI4" s="5"/>
      <c r="AJ4" s="5"/>
      <c r="AK4" s="17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>
        <f aca="true" t="shared" si="0" ref="BC4:BC17">SUM(E4:BB4)</f>
        <v>0</v>
      </c>
      <c r="BD4" s="33"/>
      <c r="BE4" s="5"/>
    </row>
    <row r="5" spans="1:57" s="8" customFormat="1" ht="11.25" hidden="1">
      <c r="A5" s="26" t="str">
        <f>"07596"</f>
        <v>07596</v>
      </c>
      <c r="B5" s="9" t="str">
        <f>"ÁTÍRÓTÖMB"</f>
        <v>ÁTÍRÓTÖMB</v>
      </c>
      <c r="C5" s="9" t="str">
        <f>"A/5 (50X3)"</f>
        <v>A/5 (50X3)</v>
      </c>
      <c r="D5" s="20"/>
      <c r="E5" s="5"/>
      <c r="F5" s="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1"/>
      <c r="AB5" s="5"/>
      <c r="AC5" s="5"/>
      <c r="AD5" s="5"/>
      <c r="AE5" s="5"/>
      <c r="AF5" s="5"/>
      <c r="AG5" s="5"/>
      <c r="AH5" s="5"/>
      <c r="AI5" s="5"/>
      <c r="AJ5" s="5"/>
      <c r="AK5" s="17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>
        <f t="shared" si="0"/>
        <v>0</v>
      </c>
      <c r="BD5" s="33"/>
      <c r="BE5" s="5"/>
    </row>
    <row r="6" spans="1:57" s="8" customFormat="1" ht="11.25" hidden="1">
      <c r="A6" s="26" t="str">
        <f>"11697"</f>
        <v>11697</v>
      </c>
      <c r="B6" s="9" t="str">
        <f>"ÁTÍRÓTÖMB (ÖNÁTÍRÓS)"</f>
        <v>ÁTÍRÓTÖMB (ÖNÁTÍRÓS)</v>
      </c>
      <c r="C6" s="9" t="str">
        <f>"A/4 (50X2)"</f>
        <v>A/4 (50X2)</v>
      </c>
      <c r="D6" s="20"/>
      <c r="E6" s="5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1"/>
      <c r="AB6" s="5"/>
      <c r="AC6" s="5"/>
      <c r="AD6" s="5"/>
      <c r="AE6" s="5"/>
      <c r="AF6" s="5"/>
      <c r="AG6" s="5"/>
      <c r="AH6" s="5"/>
      <c r="AI6" s="5"/>
      <c r="AJ6" s="5"/>
      <c r="AK6" s="1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>
        <f t="shared" si="0"/>
        <v>0</v>
      </c>
      <c r="BD6" s="33"/>
      <c r="BE6" s="5"/>
    </row>
    <row r="7" spans="1:57" s="9" customFormat="1" ht="11.25" hidden="1">
      <c r="A7" s="26" t="str">
        <f>"08078"</f>
        <v>08078</v>
      </c>
      <c r="B7" s="9" t="str">
        <f>"BELFÖLDI KIKÜLDETÉSI RENDELVÉNY"</f>
        <v>BELFÖLDI KIKÜLDETÉSI RENDELVÉNY</v>
      </c>
      <c r="C7" s="9" t="str">
        <f>"(B.18-70/új)"</f>
        <v>(B.18-70/új)</v>
      </c>
      <c r="D7" s="20"/>
      <c r="E7" s="4"/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0"/>
      <c r="AB7" s="4"/>
      <c r="AC7" s="4"/>
      <c r="AD7" s="4"/>
      <c r="AE7" s="4"/>
      <c r="AF7" s="4"/>
      <c r="AG7" s="4"/>
      <c r="AH7" s="4"/>
      <c r="AI7" s="4"/>
      <c r="AJ7" s="4"/>
      <c r="AK7" s="17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5">
        <f t="shared" si="0"/>
        <v>0</v>
      </c>
      <c r="BD7" s="33"/>
      <c r="BE7" s="4"/>
    </row>
    <row r="8" spans="1:57" s="9" customFormat="1" ht="11.25" hidden="1">
      <c r="A8" s="26" t="str">
        <f>"13629"</f>
        <v>13629</v>
      </c>
      <c r="B8" s="9" t="str">
        <f>"BÉLYEGZŐ"</f>
        <v>BÉLYEGZŐ</v>
      </c>
      <c r="C8" s="9" t="str">
        <f>"COLOP 20"</f>
        <v>COLOP 20</v>
      </c>
      <c r="D8" s="20"/>
      <c r="E8" s="4"/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0"/>
      <c r="AB8" s="4"/>
      <c r="AC8" s="4"/>
      <c r="AD8" s="4"/>
      <c r="AE8" s="4"/>
      <c r="AF8" s="4"/>
      <c r="AG8" s="4"/>
      <c r="AH8" s="4"/>
      <c r="AI8" s="4"/>
      <c r="AJ8" s="4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5">
        <f t="shared" si="0"/>
        <v>0</v>
      </c>
      <c r="BD8" s="33"/>
      <c r="BE8" s="4"/>
    </row>
    <row r="9" spans="1:57" s="9" customFormat="1" ht="11.25" hidden="1">
      <c r="A9" s="26" t="str">
        <f>"09947"</f>
        <v>09947</v>
      </c>
      <c r="B9" s="9" t="str">
        <f>"BÉLYEGZŐ (DÁTUM)"</f>
        <v>BÉLYEGZŐ (DÁTUM)</v>
      </c>
      <c r="C9" s="9" t="str">
        <f>"COLOP S120"</f>
        <v>COLOP S120</v>
      </c>
      <c r="D9" s="20"/>
      <c r="E9" s="4"/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0"/>
      <c r="AB9" s="4"/>
      <c r="AC9" s="4"/>
      <c r="AD9" s="4"/>
      <c r="AE9" s="4"/>
      <c r="AF9" s="4"/>
      <c r="AG9" s="4"/>
      <c r="AH9" s="4"/>
      <c r="AI9" s="4"/>
      <c r="AJ9" s="4"/>
      <c r="AK9" s="17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>
        <f t="shared" si="0"/>
        <v>0</v>
      </c>
      <c r="BD9" s="33"/>
      <c r="BE9" s="4"/>
    </row>
    <row r="10" spans="1:57" s="9" customFormat="1" ht="11.25" hidden="1">
      <c r="A10" s="26" t="str">
        <f>"08618"</f>
        <v>08618</v>
      </c>
      <c r="B10" s="9" t="str">
        <f aca="true" t="shared" si="1" ref="B10:B17">"BÉLYEGZŐPÁRNA"</f>
        <v>BÉLYEGZŐPÁRNA</v>
      </c>
      <c r="C10" s="9" t="str">
        <f>"COLOP BP. 4912"</f>
        <v>COLOP BP. 4912</v>
      </c>
      <c r="D10" s="20"/>
      <c r="E10" s="4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0"/>
      <c r="AB10" s="4"/>
      <c r="AC10" s="4"/>
      <c r="AD10" s="4"/>
      <c r="AE10" s="4"/>
      <c r="AF10" s="4"/>
      <c r="AG10" s="4"/>
      <c r="AH10" s="4"/>
      <c r="AI10" s="4"/>
      <c r="AJ10" s="4"/>
      <c r="AK10" s="17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5">
        <f t="shared" si="0"/>
        <v>0</v>
      </c>
      <c r="BD10" s="33"/>
      <c r="BE10" s="4"/>
    </row>
    <row r="11" spans="1:57" s="9" customFormat="1" ht="11.25" hidden="1">
      <c r="A11" s="26" t="str">
        <f>"08617"</f>
        <v>08617</v>
      </c>
      <c r="B11" s="9" t="str">
        <f t="shared" si="1"/>
        <v>BÉLYEGZŐPÁRNA</v>
      </c>
      <c r="C11" s="9" t="str">
        <f>"COLOP BP. 4913"</f>
        <v>COLOP BP. 4913</v>
      </c>
      <c r="D11" s="20"/>
      <c r="E11" s="4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0"/>
      <c r="AB11" s="4"/>
      <c r="AC11" s="4"/>
      <c r="AD11" s="4"/>
      <c r="AE11" s="4"/>
      <c r="AF11" s="4"/>
      <c r="AG11" s="4"/>
      <c r="AH11" s="4"/>
      <c r="AI11" s="4"/>
      <c r="AJ11" s="4"/>
      <c r="AK11" s="17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5">
        <f t="shared" si="0"/>
        <v>0</v>
      </c>
      <c r="BD11" s="33"/>
      <c r="BE11" s="4"/>
    </row>
    <row r="12" spans="1:57" s="9" customFormat="1" ht="11.25" hidden="1">
      <c r="A12" s="26" t="str">
        <f>"10905"</f>
        <v>10905</v>
      </c>
      <c r="B12" s="9" t="str">
        <f t="shared" si="1"/>
        <v>BÉLYEGZŐPÁRNA</v>
      </c>
      <c r="C12" s="9" t="str">
        <f>"COLOP E 10"</f>
        <v>COLOP E 10</v>
      </c>
      <c r="D12" s="20"/>
      <c r="E12" s="4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0"/>
      <c r="AB12" s="4"/>
      <c r="AC12" s="4"/>
      <c r="AD12" s="4"/>
      <c r="AE12" s="4"/>
      <c r="AF12" s="4"/>
      <c r="AG12" s="4"/>
      <c r="AH12" s="4"/>
      <c r="AI12" s="4"/>
      <c r="AJ12" s="4"/>
      <c r="AK12" s="17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5">
        <f t="shared" si="0"/>
        <v>0</v>
      </c>
      <c r="BD12" s="33"/>
      <c r="BE12" s="4"/>
    </row>
    <row r="13" spans="1:57" s="9" customFormat="1" ht="11.25" hidden="1">
      <c r="A13" s="26" t="str">
        <f>"10906"</f>
        <v>10906</v>
      </c>
      <c r="B13" s="9" t="str">
        <f t="shared" si="1"/>
        <v>BÉLYEGZŐPÁRNA</v>
      </c>
      <c r="C13" s="9" t="str">
        <f>"COLOP E 30"</f>
        <v>COLOP E 30</v>
      </c>
      <c r="D13" s="20"/>
      <c r="E13" s="4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0"/>
      <c r="AB13" s="4"/>
      <c r="AC13" s="4"/>
      <c r="AD13" s="4"/>
      <c r="AE13" s="4"/>
      <c r="AF13" s="4"/>
      <c r="AG13" s="4"/>
      <c r="AH13" s="4"/>
      <c r="AI13" s="4"/>
      <c r="AJ13" s="4"/>
      <c r="AK13" s="17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5">
        <f t="shared" si="0"/>
        <v>0</v>
      </c>
      <c r="BD13" s="33"/>
      <c r="BE13" s="4"/>
    </row>
    <row r="14" spans="1:57" s="9" customFormat="1" ht="11.25" hidden="1">
      <c r="A14" s="26" t="str">
        <f>"08573"</f>
        <v>08573</v>
      </c>
      <c r="B14" s="9" t="str">
        <f t="shared" si="1"/>
        <v>BÉLYEGZŐPÁRNA</v>
      </c>
      <c r="C14" s="9" t="str">
        <f>"COLOP E 40"</f>
        <v>COLOP E 40</v>
      </c>
      <c r="D14" s="20"/>
      <c r="E14" s="4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17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5">
        <f t="shared" si="0"/>
        <v>0</v>
      </c>
      <c r="BD14" s="33"/>
      <c r="BE14" s="4"/>
    </row>
    <row r="15" spans="1:57" s="9" customFormat="1" ht="11.25" hidden="1">
      <c r="A15" s="26" t="str">
        <f>"12655"</f>
        <v>12655</v>
      </c>
      <c r="B15" s="9" t="str">
        <f t="shared" si="1"/>
        <v>BÉLYEGZŐPÁRNA</v>
      </c>
      <c r="C15" s="9" t="str">
        <f>"KORES"</f>
        <v>KORES</v>
      </c>
      <c r="D15" s="20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17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5">
        <f t="shared" si="0"/>
        <v>0</v>
      </c>
      <c r="BD15" s="33"/>
      <c r="BE15" s="4"/>
    </row>
    <row r="16" spans="1:57" s="9" customFormat="1" ht="11.25" hidden="1">
      <c r="A16" s="26" t="str">
        <f>"13304"</f>
        <v>13304</v>
      </c>
      <c r="B16" s="9" t="str">
        <f t="shared" si="1"/>
        <v>BÉLYEGZŐPÁRNA</v>
      </c>
      <c r="C16" s="9" t="str">
        <f>"LACO"</f>
        <v>LACO</v>
      </c>
      <c r="D16" s="20"/>
      <c r="E16" s="4"/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0"/>
      <c r="AB16" s="4"/>
      <c r="AC16" s="4"/>
      <c r="AD16" s="4"/>
      <c r="AE16" s="4"/>
      <c r="AF16" s="4"/>
      <c r="AG16" s="4"/>
      <c r="AH16" s="4"/>
      <c r="AI16" s="4"/>
      <c r="AJ16" s="4"/>
      <c r="AK16" s="17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5">
        <f t="shared" si="0"/>
        <v>0</v>
      </c>
      <c r="BD16" s="33"/>
      <c r="BE16" s="4"/>
    </row>
    <row r="17" spans="1:57" s="9" customFormat="1" ht="11.25" hidden="1">
      <c r="A17" s="26" t="str">
        <f>"12490"</f>
        <v>12490</v>
      </c>
      <c r="B17" s="9" t="str">
        <f t="shared" si="1"/>
        <v>BÉLYEGZŐPÁRNA</v>
      </c>
      <c r="C17" s="9" t="str">
        <f>"TRODAT 4912"</f>
        <v>TRODAT 4912</v>
      </c>
      <c r="D17" s="20"/>
      <c r="E17" s="4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0"/>
      <c r="AB17" s="4"/>
      <c r="AC17" s="4"/>
      <c r="AD17" s="4"/>
      <c r="AE17" s="4"/>
      <c r="AF17" s="4"/>
      <c r="AG17" s="4"/>
      <c r="AH17" s="4"/>
      <c r="AI17" s="4"/>
      <c r="AJ17" s="4"/>
      <c r="AK17" s="17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5">
        <f t="shared" si="0"/>
        <v>0</v>
      </c>
      <c r="BD17" s="33"/>
      <c r="BE17" s="4"/>
    </row>
    <row r="18" spans="1:57" s="36" customFormat="1" ht="11.25">
      <c r="A18" s="35"/>
      <c r="D18" s="37"/>
      <c r="E18" s="38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40"/>
      <c r="BD18" s="41"/>
      <c r="BE18" s="38"/>
    </row>
    <row r="19" spans="1:58" s="4" customFormat="1" ht="12.75">
      <c r="A19" s="17" t="s">
        <v>254</v>
      </c>
      <c r="B19" s="4" t="s">
        <v>255</v>
      </c>
      <c r="C19" s="4" t="s">
        <v>256</v>
      </c>
      <c r="D19" s="20"/>
      <c r="F19" s="17"/>
      <c r="AA19" s="10"/>
      <c r="AK19" s="17"/>
      <c r="BC19" s="30" t="s">
        <v>257</v>
      </c>
      <c r="BD19" s="31"/>
      <c r="BE19" s="17" t="s">
        <v>258</v>
      </c>
      <c r="BF19" s="17" t="s">
        <v>259</v>
      </c>
    </row>
    <row r="20" spans="1:59" s="9" customFormat="1" ht="11.25">
      <c r="A20" s="26" t="s">
        <v>147</v>
      </c>
      <c r="B20" s="9" t="str">
        <f>"ÁRAZÓSZALAG"</f>
        <v>ÁRAZÓSZALAG</v>
      </c>
      <c r="C20" s="9" t="s">
        <v>136</v>
      </c>
      <c r="D20" s="17" t="s">
        <v>25</v>
      </c>
      <c r="E20" s="4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17"/>
      <c r="AL20" s="4"/>
      <c r="AM20" s="4"/>
      <c r="AN20" s="4"/>
      <c r="AO20" s="4">
        <v>1</v>
      </c>
      <c r="AP20" s="4"/>
      <c r="AQ20" s="4"/>
      <c r="AR20" s="4">
        <v>1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5">
        <f>SUM(E20:BB20)</f>
        <v>2</v>
      </c>
      <c r="BD20" s="32" t="s">
        <v>25</v>
      </c>
      <c r="BE20" s="4"/>
      <c r="BG20" s="8"/>
    </row>
    <row r="21" spans="1:57" s="8" customFormat="1" ht="11.25">
      <c r="A21" s="26" t="s">
        <v>148</v>
      </c>
      <c r="B21" s="9" t="s">
        <v>76</v>
      </c>
      <c r="C21" s="9" t="s">
        <v>133</v>
      </c>
      <c r="D21" s="20" t="s">
        <v>18</v>
      </c>
      <c r="E21" s="5"/>
      <c r="F21" s="1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</v>
      </c>
      <c r="Y21" s="5"/>
      <c r="Z21" s="5"/>
      <c r="AA21" s="11"/>
      <c r="AB21" s="5"/>
      <c r="AC21" s="5"/>
      <c r="AD21" s="5"/>
      <c r="AE21" s="5"/>
      <c r="AF21" s="5"/>
      <c r="AG21" s="5"/>
      <c r="AH21" s="5"/>
      <c r="AI21" s="5"/>
      <c r="AJ21" s="5"/>
      <c r="AK21" s="17"/>
      <c r="AL21" s="5"/>
      <c r="AM21" s="5"/>
      <c r="AN21" s="5"/>
      <c r="AO21" s="5">
        <v>1</v>
      </c>
      <c r="AP21" s="5">
        <v>1</v>
      </c>
      <c r="AQ21" s="5">
        <v>1</v>
      </c>
      <c r="AR21" s="5">
        <v>1</v>
      </c>
      <c r="AS21" s="5"/>
      <c r="AT21" s="5"/>
      <c r="AU21" s="5"/>
      <c r="AV21" s="5"/>
      <c r="AW21" s="5"/>
      <c r="AX21" s="5">
        <v>1</v>
      </c>
      <c r="AY21" s="5">
        <v>1</v>
      </c>
      <c r="AZ21" s="5"/>
      <c r="BA21" s="5">
        <v>2</v>
      </c>
      <c r="BB21" s="5"/>
      <c r="BC21" s="5">
        <f aca="true" t="shared" si="2" ref="BC21:BC80">SUM(E21:BB21)</f>
        <v>9</v>
      </c>
      <c r="BD21" s="33" t="s">
        <v>18</v>
      </c>
      <c r="BE21" s="5"/>
    </row>
    <row r="22" spans="1:57" s="8" customFormat="1" ht="11.25">
      <c r="A22" s="26" t="s">
        <v>149</v>
      </c>
      <c r="B22" s="9" t="s">
        <v>134</v>
      </c>
      <c r="C22" s="9" t="s">
        <v>131</v>
      </c>
      <c r="D22" s="20" t="s">
        <v>18</v>
      </c>
      <c r="E22" s="5">
        <v>3</v>
      </c>
      <c r="F22" s="17"/>
      <c r="G22" s="5"/>
      <c r="H22" s="5"/>
      <c r="I22" s="5">
        <v>3</v>
      </c>
      <c r="J22" s="5">
        <v>1</v>
      </c>
      <c r="K22" s="5"/>
      <c r="L22" s="5">
        <v>1</v>
      </c>
      <c r="M22" s="5"/>
      <c r="N22" s="5"/>
      <c r="O22" s="5"/>
      <c r="P22" s="5"/>
      <c r="Q22" s="5"/>
      <c r="R22" s="5">
        <v>1</v>
      </c>
      <c r="S22" s="5"/>
      <c r="T22" s="5"/>
      <c r="U22" s="5">
        <v>1</v>
      </c>
      <c r="V22" s="5"/>
      <c r="W22" s="5">
        <v>1</v>
      </c>
      <c r="X22" s="5"/>
      <c r="Y22" s="5"/>
      <c r="Z22" s="5"/>
      <c r="AA22" s="11"/>
      <c r="AB22" s="5"/>
      <c r="AC22" s="5"/>
      <c r="AD22" s="5"/>
      <c r="AE22" s="5"/>
      <c r="AF22" s="5"/>
      <c r="AG22" s="5"/>
      <c r="AH22" s="5"/>
      <c r="AI22" s="5"/>
      <c r="AJ22" s="5"/>
      <c r="AK22" s="17"/>
      <c r="AL22" s="5"/>
      <c r="AM22" s="5"/>
      <c r="AN22" s="5"/>
      <c r="AO22" s="5">
        <v>1</v>
      </c>
      <c r="AP22" s="5">
        <v>2</v>
      </c>
      <c r="AQ22" s="5">
        <v>1</v>
      </c>
      <c r="AR22" s="5">
        <v>2</v>
      </c>
      <c r="AS22" s="5">
        <v>1</v>
      </c>
      <c r="AT22" s="5">
        <v>1</v>
      </c>
      <c r="AU22" s="5"/>
      <c r="AV22" s="5"/>
      <c r="AW22" s="5"/>
      <c r="AX22" s="5"/>
      <c r="AY22" s="5"/>
      <c r="AZ22" s="5"/>
      <c r="BA22" s="5"/>
      <c r="BB22" s="5"/>
      <c r="BC22" s="5">
        <f t="shared" si="2"/>
        <v>19</v>
      </c>
      <c r="BD22" s="33" t="s">
        <v>18</v>
      </c>
      <c r="BE22" s="5"/>
    </row>
    <row r="23" spans="1:57" s="8" customFormat="1" ht="11.25">
      <c r="A23" s="26" t="s">
        <v>150</v>
      </c>
      <c r="B23" s="9" t="s">
        <v>132</v>
      </c>
      <c r="C23" s="9" t="s">
        <v>135</v>
      </c>
      <c r="D23" s="20" t="s">
        <v>18</v>
      </c>
      <c r="E23" s="5">
        <v>3</v>
      </c>
      <c r="F23" s="1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</v>
      </c>
      <c r="S23" s="5"/>
      <c r="T23" s="5"/>
      <c r="U23" s="5">
        <v>1</v>
      </c>
      <c r="V23" s="5"/>
      <c r="W23" s="5"/>
      <c r="X23" s="5"/>
      <c r="Y23" s="5"/>
      <c r="Z23" s="5"/>
      <c r="AA23" s="11"/>
      <c r="AB23" s="5"/>
      <c r="AC23" s="5"/>
      <c r="AD23" s="5"/>
      <c r="AE23" s="5"/>
      <c r="AF23" s="5"/>
      <c r="AG23" s="5"/>
      <c r="AH23" s="5"/>
      <c r="AI23" s="5"/>
      <c r="AJ23" s="5"/>
      <c r="AK23" s="17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>
        <f t="shared" si="2"/>
        <v>5</v>
      </c>
      <c r="BD23" s="33" t="s">
        <v>18</v>
      </c>
      <c r="BE23" s="5"/>
    </row>
    <row r="24" spans="1:57" s="8" customFormat="1" ht="11.25">
      <c r="A24" s="26" t="s">
        <v>151</v>
      </c>
      <c r="B24" s="8" t="s">
        <v>144</v>
      </c>
      <c r="D24" s="20" t="s">
        <v>18</v>
      </c>
      <c r="E24" s="5"/>
      <c r="F24" s="17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1"/>
      <c r="AB24" s="5"/>
      <c r="AC24" s="5"/>
      <c r="AD24" s="5"/>
      <c r="AE24" s="5"/>
      <c r="AF24" s="5"/>
      <c r="AG24" s="5"/>
      <c r="AH24" s="5"/>
      <c r="AI24" s="5"/>
      <c r="AJ24" s="5"/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>
        <f t="shared" si="2"/>
        <v>1</v>
      </c>
      <c r="BD24" s="33" t="s">
        <v>18</v>
      </c>
      <c r="BE24" s="5"/>
    </row>
    <row r="25" spans="1:57" s="8" customFormat="1" ht="11.25">
      <c r="A25" s="26" t="s">
        <v>152</v>
      </c>
      <c r="B25" s="9" t="str">
        <f>"BINDER CSIPESZ (CLIPS)"</f>
        <v>BINDER CSIPESZ (CLIPS)</v>
      </c>
      <c r="C25" s="9" t="s">
        <v>56</v>
      </c>
      <c r="D25" s="20" t="s">
        <v>24</v>
      </c>
      <c r="E25" s="5">
        <v>1</v>
      </c>
      <c r="F25" s="17"/>
      <c r="G25" s="5"/>
      <c r="H25" s="5"/>
      <c r="I25" s="5"/>
      <c r="J25" s="5"/>
      <c r="K25" s="5"/>
      <c r="L25" s="5"/>
      <c r="M25" s="5"/>
      <c r="N25" s="5"/>
      <c r="O25" s="5">
        <v>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1"/>
      <c r="AB25" s="5"/>
      <c r="AC25" s="5"/>
      <c r="AD25" s="5"/>
      <c r="AE25" s="5"/>
      <c r="AF25" s="5"/>
      <c r="AG25" s="5"/>
      <c r="AH25" s="5"/>
      <c r="AI25" s="5"/>
      <c r="AJ25" s="5"/>
      <c r="AK25" s="17"/>
      <c r="AL25" s="5"/>
      <c r="AM25" s="5"/>
      <c r="AN25" s="5"/>
      <c r="AO25" s="5">
        <v>1</v>
      </c>
      <c r="AP25" s="5">
        <v>1</v>
      </c>
      <c r="AQ25" s="5">
        <v>1</v>
      </c>
      <c r="AR25" s="5">
        <v>1</v>
      </c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>
        <f t="shared" si="2"/>
        <v>7</v>
      </c>
      <c r="BD25" s="33" t="s">
        <v>24</v>
      </c>
      <c r="BE25" s="5"/>
    </row>
    <row r="26" spans="1:57" s="8" customFormat="1" ht="11.25">
      <c r="A26" s="26" t="s">
        <v>153</v>
      </c>
      <c r="B26" s="9" t="str">
        <f>"BINDER CSIPESZ (CLIPS)"</f>
        <v>BINDER CSIPESZ (CLIPS)</v>
      </c>
      <c r="C26" s="9" t="s">
        <v>55</v>
      </c>
      <c r="D26" s="20" t="s">
        <v>24</v>
      </c>
      <c r="E26" s="5">
        <v>1</v>
      </c>
      <c r="F26" s="17"/>
      <c r="G26" s="5"/>
      <c r="H26" s="5">
        <v>10</v>
      </c>
      <c r="I26" s="5"/>
      <c r="J26" s="5"/>
      <c r="K26" s="5"/>
      <c r="L26" s="5"/>
      <c r="M26" s="5"/>
      <c r="N26" s="5"/>
      <c r="O26" s="5">
        <v>2</v>
      </c>
      <c r="P26" s="5"/>
      <c r="Q26" s="5"/>
      <c r="R26" s="5">
        <v>2</v>
      </c>
      <c r="S26" s="5"/>
      <c r="T26" s="5"/>
      <c r="U26" s="5"/>
      <c r="V26" s="5"/>
      <c r="W26" s="5"/>
      <c r="X26" s="5"/>
      <c r="Y26" s="5"/>
      <c r="Z26" s="5"/>
      <c r="AA26" s="11"/>
      <c r="AB26" s="5"/>
      <c r="AC26" s="5"/>
      <c r="AD26" s="5"/>
      <c r="AE26" s="5"/>
      <c r="AF26" s="5"/>
      <c r="AG26" s="5"/>
      <c r="AH26" s="5"/>
      <c r="AI26" s="5"/>
      <c r="AJ26" s="5"/>
      <c r="AK26" s="17"/>
      <c r="AL26" s="5"/>
      <c r="AM26" s="5"/>
      <c r="AN26" s="5"/>
      <c r="AO26" s="5">
        <v>1</v>
      </c>
      <c r="AP26" s="5">
        <v>1</v>
      </c>
      <c r="AQ26" s="5">
        <v>1</v>
      </c>
      <c r="AR26" s="5">
        <v>1</v>
      </c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>
        <f t="shared" si="2"/>
        <v>19</v>
      </c>
      <c r="BD26" s="33" t="s">
        <v>24</v>
      </c>
      <c r="BE26" s="5"/>
    </row>
    <row r="27" spans="1:57" s="8" customFormat="1" ht="11.25">
      <c r="A27" s="26" t="s">
        <v>154</v>
      </c>
      <c r="B27" s="9" t="str">
        <f>"BINDER CSIPESZ (CLIPS)"</f>
        <v>BINDER CSIPESZ (CLIPS)</v>
      </c>
      <c r="C27" s="9" t="s">
        <v>54</v>
      </c>
      <c r="D27" s="20" t="s">
        <v>24</v>
      </c>
      <c r="E27" s="5">
        <v>1</v>
      </c>
      <c r="F27" s="17">
        <v>1</v>
      </c>
      <c r="G27" s="5"/>
      <c r="H27" s="5">
        <v>5</v>
      </c>
      <c r="I27" s="5"/>
      <c r="J27" s="5"/>
      <c r="K27" s="5"/>
      <c r="L27" s="5"/>
      <c r="M27" s="5"/>
      <c r="N27" s="5"/>
      <c r="O27" s="5">
        <v>2</v>
      </c>
      <c r="P27" s="5"/>
      <c r="Q27" s="5"/>
      <c r="R27" s="5">
        <v>1</v>
      </c>
      <c r="S27" s="5"/>
      <c r="T27" s="5"/>
      <c r="U27" s="5"/>
      <c r="V27" s="5"/>
      <c r="W27" s="5"/>
      <c r="X27" s="5"/>
      <c r="Y27" s="5"/>
      <c r="Z27" s="5"/>
      <c r="AA27" s="11"/>
      <c r="AB27" s="5"/>
      <c r="AC27" s="5"/>
      <c r="AD27" s="5"/>
      <c r="AE27" s="5"/>
      <c r="AF27" s="5"/>
      <c r="AG27" s="5"/>
      <c r="AH27" s="5"/>
      <c r="AI27" s="5"/>
      <c r="AJ27" s="5"/>
      <c r="AK27" s="17"/>
      <c r="AL27" s="5"/>
      <c r="AM27" s="5"/>
      <c r="AN27" s="5"/>
      <c r="AO27" s="5">
        <v>1</v>
      </c>
      <c r="AP27" s="5">
        <v>1</v>
      </c>
      <c r="AQ27" s="5">
        <v>1</v>
      </c>
      <c r="AR27" s="5">
        <v>1</v>
      </c>
      <c r="AS27" s="5"/>
      <c r="AT27" s="5"/>
      <c r="AU27" s="5"/>
      <c r="AV27" s="5"/>
      <c r="AW27" s="5"/>
      <c r="AX27" s="5"/>
      <c r="AY27" s="5"/>
      <c r="AZ27" s="5"/>
      <c r="BA27" s="5">
        <v>1</v>
      </c>
      <c r="BB27" s="5"/>
      <c r="BC27" s="5">
        <f t="shared" si="2"/>
        <v>15</v>
      </c>
      <c r="BD27" s="33" t="s">
        <v>24</v>
      </c>
      <c r="BE27" s="5"/>
    </row>
    <row r="28" spans="1:57" s="8" customFormat="1" ht="11.25">
      <c r="A28" s="26" t="s">
        <v>155</v>
      </c>
      <c r="B28" s="9" t="str">
        <f>"BINDER CSIPESZ (CLIPS)"</f>
        <v>BINDER CSIPESZ (CLIPS)</v>
      </c>
      <c r="C28" s="9" t="s">
        <v>57</v>
      </c>
      <c r="D28" s="20" t="s">
        <v>24</v>
      </c>
      <c r="E28" s="5">
        <v>1</v>
      </c>
      <c r="F28" s="17"/>
      <c r="G28" s="5"/>
      <c r="H28" s="5">
        <v>2</v>
      </c>
      <c r="I28" s="5"/>
      <c r="J28" s="5"/>
      <c r="K28" s="5"/>
      <c r="L28" s="5"/>
      <c r="M28" s="5"/>
      <c r="N28" s="5"/>
      <c r="O28" s="5">
        <v>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1"/>
      <c r="AB28" s="5"/>
      <c r="AC28" s="5"/>
      <c r="AD28" s="5"/>
      <c r="AE28" s="5"/>
      <c r="AF28" s="5"/>
      <c r="AG28" s="5"/>
      <c r="AH28" s="5"/>
      <c r="AI28" s="5"/>
      <c r="AJ28" s="5"/>
      <c r="AK28" s="17"/>
      <c r="AL28" s="5"/>
      <c r="AM28" s="5"/>
      <c r="AN28" s="5"/>
      <c r="AO28" s="5">
        <v>1</v>
      </c>
      <c r="AP28" s="5">
        <v>1</v>
      </c>
      <c r="AQ28" s="5">
        <v>1</v>
      </c>
      <c r="AR28" s="5">
        <v>1</v>
      </c>
      <c r="AS28" s="5"/>
      <c r="AT28" s="5"/>
      <c r="AU28" s="5">
        <v>2</v>
      </c>
      <c r="AV28" s="5"/>
      <c r="AW28" s="5"/>
      <c r="AX28" s="5"/>
      <c r="AY28" s="5"/>
      <c r="AZ28" s="5"/>
      <c r="BA28" s="5">
        <v>1</v>
      </c>
      <c r="BB28" s="5"/>
      <c r="BC28" s="5">
        <f t="shared" si="2"/>
        <v>12</v>
      </c>
      <c r="BD28" s="33" t="s">
        <v>24</v>
      </c>
      <c r="BE28" s="5"/>
    </row>
    <row r="29" spans="1:57" s="9" customFormat="1" ht="11.25" hidden="1">
      <c r="A29" s="26"/>
      <c r="B29" s="9" t="s">
        <v>38</v>
      </c>
      <c r="D29" s="17"/>
      <c r="E29" s="4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0"/>
      <c r="AB29" s="4"/>
      <c r="AC29" s="4"/>
      <c r="AD29" s="4"/>
      <c r="AE29" s="4"/>
      <c r="AF29" s="4"/>
      <c r="AG29" s="4"/>
      <c r="AH29" s="4"/>
      <c r="AI29" s="4"/>
      <c r="AJ29" s="4"/>
      <c r="AK29" s="17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5">
        <f t="shared" si="2"/>
        <v>0</v>
      </c>
      <c r="BD29" s="32"/>
      <c r="BE29" s="4"/>
    </row>
    <row r="30" spans="1:57" s="9" customFormat="1" ht="11.25" hidden="1">
      <c r="A30" s="26"/>
      <c r="B30" s="9" t="s">
        <v>38</v>
      </c>
      <c r="C30" s="9" t="str">
        <f>"DELI 0620"</f>
        <v>DELI 0620</v>
      </c>
      <c r="D30" s="17"/>
      <c r="E30" s="4"/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0"/>
      <c r="AB30" s="4"/>
      <c r="AC30" s="4"/>
      <c r="AD30" s="4"/>
      <c r="AE30" s="4"/>
      <c r="AF30" s="4"/>
      <c r="AG30" s="4"/>
      <c r="AH30" s="4"/>
      <c r="AI30" s="4"/>
      <c r="AJ30" s="4"/>
      <c r="AK30" s="17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5">
        <f t="shared" si="2"/>
        <v>0</v>
      </c>
      <c r="BD30" s="32"/>
      <c r="BE30" s="4"/>
    </row>
    <row r="31" spans="1:59" s="9" customFormat="1" ht="11.25" hidden="1">
      <c r="A31" s="26"/>
      <c r="B31" s="9" t="s">
        <v>38</v>
      </c>
      <c r="D31" s="17"/>
      <c r="E31" s="4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0"/>
      <c r="AB31" s="4"/>
      <c r="AC31" s="4"/>
      <c r="AD31" s="4"/>
      <c r="AE31" s="4"/>
      <c r="AF31" s="4"/>
      <c r="AG31" s="4"/>
      <c r="AH31" s="4"/>
      <c r="AI31" s="4"/>
      <c r="AJ31" s="4"/>
      <c r="AK31" s="17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5">
        <f t="shared" si="2"/>
        <v>0</v>
      </c>
      <c r="BD31" s="32"/>
      <c r="BE31" s="4"/>
      <c r="BG31" s="8"/>
    </row>
    <row r="32" spans="1:57" s="8" customFormat="1" ht="11.25" hidden="1">
      <c r="A32" s="26"/>
      <c r="B32" s="9" t="s">
        <v>38</v>
      </c>
      <c r="C32" s="9" t="str">
        <f>"080X120 CM"</f>
        <v>080X120 CM</v>
      </c>
      <c r="D32" s="20"/>
      <c r="E32" s="5"/>
      <c r="F32" s="1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1"/>
      <c r="AB32" s="5"/>
      <c r="AC32" s="5"/>
      <c r="AD32" s="5"/>
      <c r="AE32" s="5"/>
      <c r="AF32" s="5"/>
      <c r="AG32" s="5"/>
      <c r="AH32" s="5"/>
      <c r="AI32" s="5"/>
      <c r="AJ32" s="5"/>
      <c r="AK32" s="17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>
        <f t="shared" si="2"/>
        <v>0</v>
      </c>
      <c r="BD32" s="33"/>
      <c r="BE32" s="5"/>
    </row>
    <row r="33" spans="1:59" s="8" customFormat="1" ht="11.25" hidden="1">
      <c r="A33" s="26"/>
      <c r="B33" s="9" t="s">
        <v>38</v>
      </c>
      <c r="C33" s="9" t="str">
        <f>"5KG-OS"</f>
        <v>5KG-OS</v>
      </c>
      <c r="D33" s="20"/>
      <c r="E33" s="5"/>
      <c r="F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1"/>
      <c r="AB33" s="5"/>
      <c r="AC33" s="5"/>
      <c r="AD33" s="5"/>
      <c r="AE33" s="5"/>
      <c r="AF33" s="5"/>
      <c r="AG33" s="5"/>
      <c r="AH33" s="5"/>
      <c r="AI33" s="5"/>
      <c r="AJ33" s="5"/>
      <c r="AK33" s="17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>
        <f t="shared" si="2"/>
        <v>0</v>
      </c>
      <c r="BD33" s="33"/>
      <c r="BE33" s="5"/>
      <c r="BG33" s="9"/>
    </row>
    <row r="34" spans="1:57" s="9" customFormat="1" ht="11.25" hidden="1">
      <c r="A34" s="26"/>
      <c r="B34" s="9" t="s">
        <v>38</v>
      </c>
      <c r="C34" s="9" t="str">
        <f>"A/1"</f>
        <v>A/1</v>
      </c>
      <c r="D34" s="17"/>
      <c r="E34" s="4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0"/>
      <c r="AB34" s="4"/>
      <c r="AC34" s="4"/>
      <c r="AD34" s="4"/>
      <c r="AE34" s="4"/>
      <c r="AF34" s="4"/>
      <c r="AG34" s="4"/>
      <c r="AH34" s="4"/>
      <c r="AI34" s="4"/>
      <c r="AJ34" s="4"/>
      <c r="AK34" s="17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5">
        <f t="shared" si="2"/>
        <v>0</v>
      </c>
      <c r="BD34" s="32"/>
      <c r="BE34" s="4"/>
    </row>
    <row r="35" spans="1:59" s="9" customFormat="1" ht="11.25" hidden="1">
      <c r="A35" s="26"/>
      <c r="B35" s="9" t="s">
        <v>38</v>
      </c>
      <c r="D35" s="17"/>
      <c r="E35" s="4"/>
      <c r="F35" s="1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0"/>
      <c r="AB35" s="4"/>
      <c r="AC35" s="4"/>
      <c r="AD35" s="4"/>
      <c r="AE35" s="4"/>
      <c r="AF35" s="4"/>
      <c r="AG35" s="4"/>
      <c r="AH35" s="4"/>
      <c r="AI35" s="4"/>
      <c r="AJ35" s="4"/>
      <c r="AK35" s="17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5">
        <f t="shared" si="2"/>
        <v>0</v>
      </c>
      <c r="BD35" s="32"/>
      <c r="BE35" s="4"/>
      <c r="BG35" s="8"/>
    </row>
    <row r="36" spans="1:57" s="8" customFormat="1" ht="11.25" hidden="1">
      <c r="A36" s="26"/>
      <c r="B36" s="9" t="s">
        <v>38</v>
      </c>
      <c r="C36" s="9"/>
      <c r="D36" s="20"/>
      <c r="E36" s="5"/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1"/>
      <c r="AB36" s="5"/>
      <c r="AC36" s="5"/>
      <c r="AD36" s="5"/>
      <c r="AE36" s="5"/>
      <c r="AF36" s="5"/>
      <c r="AG36" s="5"/>
      <c r="AH36" s="5"/>
      <c r="AI36" s="5"/>
      <c r="AJ36" s="5"/>
      <c r="AK36" s="17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>
        <f t="shared" si="2"/>
        <v>0</v>
      </c>
      <c r="BD36" s="33"/>
      <c r="BE36" s="5"/>
    </row>
    <row r="37" spans="1:57" s="8" customFormat="1" ht="11.25" hidden="1">
      <c r="A37" s="26"/>
      <c r="B37" s="9" t="s">
        <v>38</v>
      </c>
      <c r="C37" s="9" t="str">
        <f>"A/4 (20/40-ES)"</f>
        <v>A/4 (20/40-ES)</v>
      </c>
      <c r="D37" s="20"/>
      <c r="E37" s="5"/>
      <c r="F37" s="1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1"/>
      <c r="AB37" s="5"/>
      <c r="AC37" s="5"/>
      <c r="AD37" s="5"/>
      <c r="AE37" s="5"/>
      <c r="AF37" s="5"/>
      <c r="AG37" s="5"/>
      <c r="AH37" s="5"/>
      <c r="AI37" s="5"/>
      <c r="AJ37" s="5"/>
      <c r="AK37" s="17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>
        <f t="shared" si="2"/>
        <v>0</v>
      </c>
      <c r="BD37" s="33"/>
      <c r="BE37" s="5"/>
    </row>
    <row r="38" spans="1:57" s="8" customFormat="1" ht="11.25" hidden="1">
      <c r="A38" s="26"/>
      <c r="B38" s="9" t="s">
        <v>38</v>
      </c>
      <c r="C38" s="9" t="str">
        <f>"A/4 (40/80-AS)"</f>
        <v>A/4 (40/80-AS)</v>
      </c>
      <c r="D38" s="20"/>
      <c r="E38" s="5"/>
      <c r="F38" s="1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1"/>
      <c r="AB38" s="5"/>
      <c r="AC38" s="5"/>
      <c r="AD38" s="5"/>
      <c r="AE38" s="5"/>
      <c r="AF38" s="5"/>
      <c r="AG38" s="5"/>
      <c r="AH38" s="5"/>
      <c r="AI38" s="5"/>
      <c r="AJ38" s="5"/>
      <c r="AK38" s="17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>
        <f t="shared" si="2"/>
        <v>0</v>
      </c>
      <c r="BD38" s="33"/>
      <c r="BE38" s="5"/>
    </row>
    <row r="39" spans="1:57" s="8" customFormat="1" ht="11.25">
      <c r="A39" s="26" t="s">
        <v>156</v>
      </c>
      <c r="B39" s="9" t="str">
        <f aca="true" t="shared" si="3" ref="B39:B49">"BORÍTÉK (ÖNTAPADÓS) SZILIKONOS"</f>
        <v>BORÍTÉK (ÖNTAPADÓS) SZILIKONOS</v>
      </c>
      <c r="C39" s="9" t="s">
        <v>99</v>
      </c>
      <c r="D39" s="20" t="s">
        <v>18</v>
      </c>
      <c r="E39" s="5"/>
      <c r="F39" s="17"/>
      <c r="G39" s="5"/>
      <c r="H39" s="5"/>
      <c r="I39" s="5">
        <v>100</v>
      </c>
      <c r="J39" s="5"/>
      <c r="K39" s="5"/>
      <c r="L39" s="5"/>
      <c r="M39" s="5"/>
      <c r="N39" s="5"/>
      <c r="O39" s="5">
        <v>200</v>
      </c>
      <c r="P39" s="5"/>
      <c r="Q39" s="5"/>
      <c r="R39" s="5">
        <v>10</v>
      </c>
      <c r="S39" s="5"/>
      <c r="T39" s="5"/>
      <c r="U39" s="5">
        <v>20</v>
      </c>
      <c r="V39" s="5"/>
      <c r="W39" s="5"/>
      <c r="X39" s="5"/>
      <c r="Y39" s="5"/>
      <c r="Z39" s="5"/>
      <c r="AA39" s="11"/>
      <c r="AB39" s="5"/>
      <c r="AC39" s="5"/>
      <c r="AD39" s="5"/>
      <c r="AE39" s="5"/>
      <c r="AF39" s="5"/>
      <c r="AG39" s="5"/>
      <c r="AH39" s="5"/>
      <c r="AI39" s="5"/>
      <c r="AJ39" s="5"/>
      <c r="AK39" s="17"/>
      <c r="AL39" s="5"/>
      <c r="AM39" s="5"/>
      <c r="AN39" s="5"/>
      <c r="AO39" s="5"/>
      <c r="AP39" s="5"/>
      <c r="AQ39" s="5"/>
      <c r="AR39" s="5"/>
      <c r="AS39" s="5"/>
      <c r="AT39" s="5"/>
      <c r="AU39" s="5">
        <v>30</v>
      </c>
      <c r="AV39" s="5"/>
      <c r="AW39" s="5"/>
      <c r="AX39" s="5"/>
      <c r="AY39" s="5"/>
      <c r="AZ39" s="5"/>
      <c r="BA39" s="5"/>
      <c r="BB39" s="5"/>
      <c r="BC39" s="5">
        <f t="shared" si="2"/>
        <v>360</v>
      </c>
      <c r="BD39" s="33" t="s">
        <v>18</v>
      </c>
      <c r="BE39" s="5"/>
    </row>
    <row r="40" spans="1:57" s="8" customFormat="1" ht="11.25">
      <c r="A40" s="26" t="s">
        <v>157</v>
      </c>
      <c r="B40" s="9" t="str">
        <f t="shared" si="3"/>
        <v>BORÍTÉK (ÖNTAPADÓS) SZILIKONOS</v>
      </c>
      <c r="C40" s="9" t="s">
        <v>50</v>
      </c>
      <c r="D40" s="20" t="s">
        <v>18</v>
      </c>
      <c r="E40" s="5"/>
      <c r="F40" s="17"/>
      <c r="G40" s="5"/>
      <c r="H40" s="25">
        <v>1500</v>
      </c>
      <c r="I40" s="5">
        <v>100</v>
      </c>
      <c r="J40" s="5"/>
      <c r="K40" s="5"/>
      <c r="L40" s="5">
        <v>20</v>
      </c>
      <c r="M40" s="5"/>
      <c r="N40" s="5"/>
      <c r="O40" s="5">
        <v>200</v>
      </c>
      <c r="P40" s="5"/>
      <c r="Q40" s="5"/>
      <c r="R40" s="5">
        <v>10</v>
      </c>
      <c r="S40" s="5"/>
      <c r="T40" s="5"/>
      <c r="U40" s="5">
        <v>20</v>
      </c>
      <c r="V40" s="5"/>
      <c r="W40" s="5"/>
      <c r="X40" s="5"/>
      <c r="Y40" s="5"/>
      <c r="Z40" s="5"/>
      <c r="AA40" s="11"/>
      <c r="AB40" s="5"/>
      <c r="AC40" s="5"/>
      <c r="AD40" s="5"/>
      <c r="AE40" s="5"/>
      <c r="AF40" s="5"/>
      <c r="AG40" s="5"/>
      <c r="AH40" s="5"/>
      <c r="AI40" s="5"/>
      <c r="AJ40" s="5"/>
      <c r="AK40" s="17"/>
      <c r="AL40" s="5"/>
      <c r="AM40" s="5"/>
      <c r="AN40" s="5"/>
      <c r="AO40" s="5"/>
      <c r="AP40" s="5"/>
      <c r="AQ40" s="5"/>
      <c r="AR40" s="5"/>
      <c r="AS40" s="5"/>
      <c r="AT40" s="5"/>
      <c r="AU40" s="5">
        <v>30</v>
      </c>
      <c r="AV40" s="5"/>
      <c r="AW40" s="5"/>
      <c r="AX40" s="5"/>
      <c r="AY40" s="5"/>
      <c r="AZ40" s="5"/>
      <c r="BA40" s="5"/>
      <c r="BB40" s="5"/>
      <c r="BC40" s="5">
        <f t="shared" si="2"/>
        <v>1880</v>
      </c>
      <c r="BD40" s="33" t="s">
        <v>18</v>
      </c>
      <c r="BE40" s="5"/>
    </row>
    <row r="41" spans="1:57" s="8" customFormat="1" ht="11.25">
      <c r="A41" s="26" t="s">
        <v>158</v>
      </c>
      <c r="B41" s="9" t="str">
        <f t="shared" si="3"/>
        <v>BORÍTÉK (ÖNTAPADÓS) SZILIKONOS</v>
      </c>
      <c r="C41" s="9" t="s">
        <v>51</v>
      </c>
      <c r="D41" s="20" t="s">
        <v>18</v>
      </c>
      <c r="E41" s="5"/>
      <c r="F41" s="17"/>
      <c r="G41" s="5"/>
      <c r="H41" s="5">
        <v>300</v>
      </c>
      <c r="I41" s="5">
        <v>100</v>
      </c>
      <c r="J41" s="5">
        <v>1000</v>
      </c>
      <c r="K41" s="5"/>
      <c r="L41" s="5">
        <v>30</v>
      </c>
      <c r="M41" s="5"/>
      <c r="N41" s="5"/>
      <c r="O41" s="5">
        <v>300</v>
      </c>
      <c r="P41" s="5"/>
      <c r="Q41" s="5"/>
      <c r="R41" s="5">
        <v>30</v>
      </c>
      <c r="S41" s="5"/>
      <c r="T41" s="5"/>
      <c r="U41" s="5">
        <v>20</v>
      </c>
      <c r="V41" s="5"/>
      <c r="W41" s="5">
        <v>5</v>
      </c>
      <c r="X41" s="5"/>
      <c r="Y41" s="5"/>
      <c r="Z41" s="5"/>
      <c r="AA41" s="11"/>
      <c r="AB41" s="5"/>
      <c r="AC41" s="5"/>
      <c r="AD41" s="5"/>
      <c r="AE41" s="5"/>
      <c r="AF41" s="5"/>
      <c r="AG41" s="5"/>
      <c r="AH41" s="5"/>
      <c r="AI41" s="5"/>
      <c r="AJ41" s="5"/>
      <c r="AK41" s="17"/>
      <c r="AL41" s="5"/>
      <c r="AM41" s="5"/>
      <c r="AN41" s="5"/>
      <c r="AO41" s="5"/>
      <c r="AP41" s="5"/>
      <c r="AQ41" s="5"/>
      <c r="AR41" s="5"/>
      <c r="AS41" s="5"/>
      <c r="AT41" s="5"/>
      <c r="AU41" s="5">
        <v>30</v>
      </c>
      <c r="AV41" s="5"/>
      <c r="AW41" s="5"/>
      <c r="AX41" s="5"/>
      <c r="AY41" s="5"/>
      <c r="AZ41" s="5"/>
      <c r="BA41" s="5"/>
      <c r="BB41" s="5"/>
      <c r="BC41" s="5">
        <f t="shared" si="2"/>
        <v>1815</v>
      </c>
      <c r="BD41" s="33" t="s">
        <v>18</v>
      </c>
      <c r="BE41" s="5"/>
    </row>
    <row r="42" spans="1:57" s="8" customFormat="1" ht="11.25" hidden="1">
      <c r="A42" s="26"/>
      <c r="B42" s="9" t="str">
        <f t="shared" si="3"/>
        <v>BORÍTÉK (ÖNTAPADÓS) SZILIKONOS</v>
      </c>
      <c r="C42" s="9" t="str">
        <f>"A/4"</f>
        <v>A/4</v>
      </c>
      <c r="D42" s="20" t="s">
        <v>18</v>
      </c>
      <c r="E42" s="5"/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1"/>
      <c r="AB42" s="5"/>
      <c r="AC42" s="5"/>
      <c r="AD42" s="5"/>
      <c r="AE42" s="5"/>
      <c r="AF42" s="5"/>
      <c r="AG42" s="5"/>
      <c r="AH42" s="5"/>
      <c r="AI42" s="5"/>
      <c r="AJ42" s="5"/>
      <c r="AK42" s="17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>
        <f t="shared" si="2"/>
        <v>0</v>
      </c>
      <c r="BD42" s="33" t="s">
        <v>18</v>
      </c>
      <c r="BE42" s="5"/>
    </row>
    <row r="43" spans="1:57" s="8" customFormat="1" ht="11.25" hidden="1">
      <c r="A43" s="26"/>
      <c r="B43" s="9" t="str">
        <f t="shared" si="3"/>
        <v>BORÍTÉK (ÖNTAPADÓS) SZILIKONOS</v>
      </c>
      <c r="C43" s="9" t="str">
        <f>"A/5"</f>
        <v>A/5</v>
      </c>
      <c r="D43" s="20" t="s">
        <v>18</v>
      </c>
      <c r="E43" s="5"/>
      <c r="F43" s="1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1"/>
      <c r="AB43" s="5"/>
      <c r="AC43" s="5"/>
      <c r="AD43" s="5"/>
      <c r="AE43" s="5"/>
      <c r="AF43" s="5"/>
      <c r="AG43" s="5"/>
      <c r="AH43" s="5"/>
      <c r="AI43" s="5"/>
      <c r="AJ43" s="5"/>
      <c r="AK43" s="17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>
        <f t="shared" si="2"/>
        <v>0</v>
      </c>
      <c r="BD43" s="33" t="s">
        <v>18</v>
      </c>
      <c r="BE43" s="5"/>
    </row>
    <row r="44" spans="1:57" s="8" customFormat="1" ht="11.25" hidden="1">
      <c r="A44" s="26"/>
      <c r="B44" s="9" t="str">
        <f t="shared" si="3"/>
        <v>BORÍTÉK (ÖNTAPADÓS) SZILIKONOS</v>
      </c>
      <c r="C44" s="9" t="s">
        <v>11</v>
      </c>
      <c r="D44" s="20" t="s">
        <v>18</v>
      </c>
      <c r="E44" s="5"/>
      <c r="F44" s="1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1"/>
      <c r="AB44" s="5"/>
      <c r="AC44" s="5"/>
      <c r="AD44" s="5"/>
      <c r="AE44" s="5"/>
      <c r="AF44" s="5"/>
      <c r="AG44" s="5"/>
      <c r="AH44" s="5"/>
      <c r="AI44" s="5"/>
      <c r="AJ44" s="5"/>
      <c r="AK44" s="17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>
        <f t="shared" si="2"/>
        <v>0</v>
      </c>
      <c r="BD44" s="33" t="s">
        <v>18</v>
      </c>
      <c r="BE44" s="5"/>
    </row>
    <row r="45" spans="1:59" s="8" customFormat="1" ht="11.25" hidden="1">
      <c r="A45" s="26"/>
      <c r="B45" s="9" t="str">
        <f t="shared" si="3"/>
        <v>BORÍTÉK (ÖNTAPADÓS) SZILIKONOS</v>
      </c>
      <c r="C45" s="9"/>
      <c r="D45" s="20" t="s">
        <v>18</v>
      </c>
      <c r="E45" s="5"/>
      <c r="F45" s="1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1"/>
      <c r="AB45" s="5"/>
      <c r="AC45" s="5"/>
      <c r="AD45" s="5"/>
      <c r="AE45" s="5"/>
      <c r="AF45" s="5"/>
      <c r="AG45" s="5"/>
      <c r="AH45" s="5"/>
      <c r="AI45" s="5"/>
      <c r="AJ45" s="5"/>
      <c r="AK45" s="17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>
        <f t="shared" si="2"/>
        <v>0</v>
      </c>
      <c r="BD45" s="33" t="s">
        <v>18</v>
      </c>
      <c r="BE45" s="5"/>
      <c r="BG45" s="9"/>
    </row>
    <row r="46" spans="1:57" s="9" customFormat="1" ht="11.25" hidden="1">
      <c r="A46" s="26"/>
      <c r="B46" s="9" t="str">
        <f t="shared" si="3"/>
        <v>BORÍTÉK (ÖNTAPADÓS) SZILIKONOS</v>
      </c>
      <c r="D46" s="20" t="s">
        <v>18</v>
      </c>
      <c r="E46" s="4"/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0"/>
      <c r="AB46" s="4"/>
      <c r="AC46" s="4"/>
      <c r="AD46" s="4"/>
      <c r="AE46" s="4"/>
      <c r="AF46" s="4"/>
      <c r="AG46" s="4"/>
      <c r="AH46" s="4"/>
      <c r="AI46" s="4"/>
      <c r="AJ46" s="4"/>
      <c r="AK46" s="17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5">
        <f t="shared" si="2"/>
        <v>0</v>
      </c>
      <c r="BD46" s="33" t="s">
        <v>18</v>
      </c>
      <c r="BE46" s="4"/>
    </row>
    <row r="47" spans="1:57" s="9" customFormat="1" ht="11.25" hidden="1">
      <c r="A47" s="26"/>
      <c r="B47" s="9" t="str">
        <f t="shared" si="3"/>
        <v>BORÍTÉK (ÖNTAPADÓS) SZILIKONOS</v>
      </c>
      <c r="C47" s="9" t="str">
        <f>"B.318-206"</f>
        <v>B.318-206</v>
      </c>
      <c r="D47" s="20" t="s">
        <v>18</v>
      </c>
      <c r="E47" s="4"/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0"/>
      <c r="AB47" s="4"/>
      <c r="AC47" s="4"/>
      <c r="AD47" s="4"/>
      <c r="AE47" s="4"/>
      <c r="AF47" s="4"/>
      <c r="AG47" s="4"/>
      <c r="AH47" s="4"/>
      <c r="AI47" s="4"/>
      <c r="AJ47" s="4"/>
      <c r="AK47" s="17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5">
        <f t="shared" si="2"/>
        <v>0</v>
      </c>
      <c r="BD47" s="33" t="s">
        <v>18</v>
      </c>
      <c r="BE47" s="4"/>
    </row>
    <row r="48" spans="1:57" s="9" customFormat="1" ht="11.25" hidden="1">
      <c r="A48" s="26"/>
      <c r="B48" s="9" t="str">
        <f t="shared" si="3"/>
        <v>BORÍTÉK (ÖNTAPADÓS) SZILIKONOS</v>
      </c>
      <c r="C48" s="9" t="str">
        <f>"C.18-72"</f>
        <v>C.18-72</v>
      </c>
      <c r="D48" s="20" t="s">
        <v>18</v>
      </c>
      <c r="E48" s="4"/>
      <c r="F48" s="1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0"/>
      <c r="AB48" s="4"/>
      <c r="AC48" s="4"/>
      <c r="AD48" s="4"/>
      <c r="AE48" s="4"/>
      <c r="AF48" s="4"/>
      <c r="AG48" s="4"/>
      <c r="AH48" s="4"/>
      <c r="AI48" s="4"/>
      <c r="AJ48" s="4"/>
      <c r="AK48" s="17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5">
        <f t="shared" si="2"/>
        <v>0</v>
      </c>
      <c r="BD48" s="33" t="s">
        <v>18</v>
      </c>
      <c r="BE48" s="4"/>
    </row>
    <row r="49" spans="1:57" s="9" customFormat="1" ht="11.25" hidden="1">
      <c r="A49" s="26"/>
      <c r="B49" s="9" t="str">
        <f t="shared" si="3"/>
        <v>BORÍTÉK (ÖNTAPADÓS) SZILIKONOS</v>
      </c>
      <c r="D49" s="20" t="s">
        <v>18</v>
      </c>
      <c r="E49" s="4"/>
      <c r="F49" s="1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0"/>
      <c r="AB49" s="4"/>
      <c r="AC49" s="4"/>
      <c r="AD49" s="4"/>
      <c r="AE49" s="4"/>
      <c r="AF49" s="4"/>
      <c r="AG49" s="4"/>
      <c r="AH49" s="4"/>
      <c r="AI49" s="4"/>
      <c r="AJ49" s="4"/>
      <c r="AK49" s="17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5">
        <f t="shared" si="2"/>
        <v>0</v>
      </c>
      <c r="BD49" s="33" t="s">
        <v>18</v>
      </c>
      <c r="BE49" s="4"/>
    </row>
    <row r="50" spans="1:57" s="8" customFormat="1" ht="11.25">
      <c r="A50" s="26" t="s">
        <v>159</v>
      </c>
      <c r="B50" s="9" t="s">
        <v>36</v>
      </c>
      <c r="C50" s="9" t="s">
        <v>12</v>
      </c>
      <c r="D50" s="20" t="s">
        <v>18</v>
      </c>
      <c r="E50" s="4"/>
      <c r="F50" s="17">
        <v>2</v>
      </c>
      <c r="G50" s="4">
        <v>10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v>2</v>
      </c>
      <c r="V50" s="4"/>
      <c r="W50" s="4"/>
      <c r="X50" s="4"/>
      <c r="Y50" s="4">
        <v>3</v>
      </c>
      <c r="Z50" s="4"/>
      <c r="AA50" s="10"/>
      <c r="AB50" s="4"/>
      <c r="AC50" s="4"/>
      <c r="AD50" s="4"/>
      <c r="AE50" s="4"/>
      <c r="AF50" s="4"/>
      <c r="AG50" s="4"/>
      <c r="AH50" s="4"/>
      <c r="AI50" s="4"/>
      <c r="AJ50" s="4"/>
      <c r="AK50" s="17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5">
        <f t="shared" si="2"/>
        <v>17</v>
      </c>
      <c r="BD50" s="33" t="s">
        <v>18</v>
      </c>
      <c r="BE50" s="5"/>
    </row>
    <row r="51" spans="1:57" s="9" customFormat="1" ht="11.25">
      <c r="A51" s="26" t="s">
        <v>160</v>
      </c>
      <c r="B51" s="9" t="str">
        <f>"CERUZA (ZEBRA) PIXIRON"</f>
        <v>CERUZA (ZEBRA) PIXIRON</v>
      </c>
      <c r="C51" s="9" t="str">
        <f>"0.5 MM"</f>
        <v>0.5 MM</v>
      </c>
      <c r="D51" s="20" t="s">
        <v>18</v>
      </c>
      <c r="E51" s="4">
        <v>2</v>
      </c>
      <c r="F51" s="17">
        <v>1</v>
      </c>
      <c r="G51" s="4"/>
      <c r="H51" s="4">
        <v>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>
        <v>1</v>
      </c>
      <c r="V51" s="4"/>
      <c r="W51" s="4">
        <v>1</v>
      </c>
      <c r="X51" s="4">
        <v>2</v>
      </c>
      <c r="Y51" s="4"/>
      <c r="Z51" s="4"/>
      <c r="AA51" s="10"/>
      <c r="AB51" s="4"/>
      <c r="AC51" s="4"/>
      <c r="AD51" s="4"/>
      <c r="AE51" s="4"/>
      <c r="AF51" s="4"/>
      <c r="AG51" s="4"/>
      <c r="AH51" s="4"/>
      <c r="AI51" s="4"/>
      <c r="AJ51" s="4"/>
      <c r="AK51" s="17"/>
      <c r="AL51" s="4"/>
      <c r="AM51" s="4"/>
      <c r="AN51" s="4"/>
      <c r="AO51" s="4"/>
      <c r="AP51" s="4"/>
      <c r="AQ51" s="4"/>
      <c r="AR51" s="4"/>
      <c r="AS51" s="4">
        <v>1</v>
      </c>
      <c r="AT51" s="4">
        <v>1</v>
      </c>
      <c r="AU51" s="4"/>
      <c r="AV51" s="4">
        <v>2</v>
      </c>
      <c r="AW51" s="4">
        <v>2</v>
      </c>
      <c r="AX51" s="4"/>
      <c r="AY51" s="4"/>
      <c r="AZ51" s="4"/>
      <c r="BA51" s="4"/>
      <c r="BB51" s="4"/>
      <c r="BC51" s="5">
        <f t="shared" si="2"/>
        <v>18</v>
      </c>
      <c r="BD51" s="33" t="s">
        <v>18</v>
      </c>
      <c r="BE51" s="4"/>
    </row>
    <row r="52" spans="1:57" s="9" customFormat="1" ht="11.25">
      <c r="A52" s="26" t="s">
        <v>161</v>
      </c>
      <c r="B52" s="9" t="s">
        <v>38</v>
      </c>
      <c r="C52" s="9" t="str">
        <f>"0,5 MM"</f>
        <v>0,5 MM</v>
      </c>
      <c r="D52" s="20" t="s">
        <v>18</v>
      </c>
      <c r="E52" s="4">
        <v>2</v>
      </c>
      <c r="F52" s="17">
        <v>1</v>
      </c>
      <c r="G52" s="4"/>
      <c r="H52" s="4">
        <v>10</v>
      </c>
      <c r="I52" s="4">
        <v>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v>2</v>
      </c>
      <c r="V52" s="4"/>
      <c r="W52" s="4"/>
      <c r="X52" s="4">
        <v>5</v>
      </c>
      <c r="Y52" s="4"/>
      <c r="Z52" s="4"/>
      <c r="AA52" s="10"/>
      <c r="AB52" s="4"/>
      <c r="AC52" s="4"/>
      <c r="AD52" s="4"/>
      <c r="AE52" s="4"/>
      <c r="AF52" s="4"/>
      <c r="AG52" s="4"/>
      <c r="AH52" s="4"/>
      <c r="AI52" s="4"/>
      <c r="AJ52" s="4"/>
      <c r="AK52" s="17"/>
      <c r="AL52" s="4"/>
      <c r="AM52" s="4"/>
      <c r="AN52" s="4"/>
      <c r="AO52" s="4"/>
      <c r="AP52" s="4"/>
      <c r="AQ52" s="4"/>
      <c r="AR52" s="4"/>
      <c r="AS52" s="4">
        <v>1</v>
      </c>
      <c r="AT52" s="4">
        <v>1</v>
      </c>
      <c r="AU52" s="4"/>
      <c r="AV52" s="4"/>
      <c r="AW52" s="4"/>
      <c r="AX52" s="4"/>
      <c r="AY52" s="4"/>
      <c r="AZ52" s="4"/>
      <c r="BA52" s="4"/>
      <c r="BB52" s="4"/>
      <c r="BC52" s="5">
        <f t="shared" si="2"/>
        <v>23</v>
      </c>
      <c r="BD52" s="33" t="s">
        <v>18</v>
      </c>
      <c r="BE52" s="4"/>
    </row>
    <row r="53" spans="1:57" s="9" customFormat="1" ht="11.25" hidden="1">
      <c r="A53" s="26"/>
      <c r="B53" s="9" t="str">
        <f>"EMELŐGÉP NAPLÓ"</f>
        <v>EMELŐGÉP NAPLÓ</v>
      </c>
      <c r="C53" s="9" t="str">
        <f>"A/5"</f>
        <v>A/5</v>
      </c>
      <c r="D53" s="20" t="s">
        <v>18</v>
      </c>
      <c r="E53" s="4"/>
      <c r="F53" s="17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0"/>
      <c r="AB53" s="4"/>
      <c r="AC53" s="4"/>
      <c r="AD53" s="4"/>
      <c r="AE53" s="4"/>
      <c r="AF53" s="4"/>
      <c r="AG53" s="4"/>
      <c r="AH53" s="4"/>
      <c r="AI53" s="4"/>
      <c r="AJ53" s="4"/>
      <c r="AK53" s="19"/>
      <c r="AL53" s="4"/>
      <c r="AM53" s="6"/>
      <c r="AN53" s="4"/>
      <c r="AO53" s="4"/>
      <c r="AP53" s="4"/>
      <c r="AQ53" s="4"/>
      <c r="AR53" s="4"/>
      <c r="AS53" s="4"/>
      <c r="AT53" s="4"/>
      <c r="AU53" s="18"/>
      <c r="AV53" s="18"/>
      <c r="AW53" s="18"/>
      <c r="AX53" s="4"/>
      <c r="AY53" s="4"/>
      <c r="AZ53" s="4"/>
      <c r="BA53" s="4"/>
      <c r="BB53" s="4"/>
      <c r="BC53" s="5">
        <f t="shared" si="2"/>
        <v>0</v>
      </c>
      <c r="BD53" s="33" t="s">
        <v>18</v>
      </c>
      <c r="BE53" s="4"/>
    </row>
    <row r="54" spans="1:57" s="9" customFormat="1" ht="11.25" hidden="1">
      <c r="A54" s="26"/>
      <c r="B54" s="9" t="str">
        <f>"ENGEDÉLY TŰZVESZÉLYES MUNKAVÉGZÉSHEZ"</f>
        <v>ENGEDÉLY TŰZVESZÉLYES MUNKAVÉGZÉSHEZ</v>
      </c>
      <c r="C54" s="9" t="str">
        <f>"A/4 (25X2)"</f>
        <v>A/4 (25X2)</v>
      </c>
      <c r="D54" s="20" t="s">
        <v>18</v>
      </c>
      <c r="E54" s="4"/>
      <c r="F54" s="17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0"/>
      <c r="AB54" s="4"/>
      <c r="AC54" s="4"/>
      <c r="AD54" s="4"/>
      <c r="AE54" s="4"/>
      <c r="AF54" s="4"/>
      <c r="AG54" s="4"/>
      <c r="AH54" s="4"/>
      <c r="AI54" s="4"/>
      <c r="AJ54" s="4"/>
      <c r="AK54" s="19"/>
      <c r="AL54" s="4"/>
      <c r="AM54" s="6"/>
      <c r="AN54" s="4"/>
      <c r="AO54" s="4"/>
      <c r="AP54" s="4"/>
      <c r="AQ54" s="4"/>
      <c r="AR54" s="4"/>
      <c r="AS54" s="4"/>
      <c r="AT54" s="4"/>
      <c r="AU54" s="18"/>
      <c r="AV54" s="18"/>
      <c r="AW54" s="18"/>
      <c r="AX54" s="4"/>
      <c r="AY54" s="4"/>
      <c r="AZ54" s="4"/>
      <c r="BA54" s="4"/>
      <c r="BB54" s="4"/>
      <c r="BC54" s="5">
        <f t="shared" si="2"/>
        <v>0</v>
      </c>
      <c r="BD54" s="33" t="s">
        <v>18</v>
      </c>
      <c r="BE54" s="4"/>
    </row>
    <row r="55" spans="1:57" s="9" customFormat="1" ht="11.25" hidden="1">
      <c r="A55" s="26"/>
      <c r="B55" s="9" t="str">
        <f>"ÉPÍTÉSI NAPLÓ (25X3)"</f>
        <v>ÉPÍTÉSI NAPLÓ (25X3)</v>
      </c>
      <c r="C55" s="9" t="str">
        <f>"PÁTRIA"</f>
        <v>PÁTRIA</v>
      </c>
      <c r="D55" s="20" t="s">
        <v>18</v>
      </c>
      <c r="E55" s="4"/>
      <c r="F55" s="17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0"/>
      <c r="AB55" s="4"/>
      <c r="AC55" s="4"/>
      <c r="AD55" s="4"/>
      <c r="AE55" s="4"/>
      <c r="AF55" s="4"/>
      <c r="AG55" s="4"/>
      <c r="AH55" s="4"/>
      <c r="AI55" s="4"/>
      <c r="AJ55" s="4"/>
      <c r="AK55" s="19"/>
      <c r="AL55" s="4"/>
      <c r="AM55" s="6"/>
      <c r="AN55" s="4"/>
      <c r="AO55" s="4"/>
      <c r="AP55" s="4"/>
      <c r="AQ55" s="4"/>
      <c r="AR55" s="4"/>
      <c r="AS55" s="4"/>
      <c r="AT55" s="4"/>
      <c r="AU55" s="18"/>
      <c r="AV55" s="18"/>
      <c r="AW55" s="18"/>
      <c r="AX55" s="4"/>
      <c r="AY55" s="4"/>
      <c r="AZ55" s="4"/>
      <c r="BA55" s="4"/>
      <c r="BB55" s="4"/>
      <c r="BC55" s="5">
        <f t="shared" si="2"/>
        <v>0</v>
      </c>
      <c r="BD55" s="33" t="s">
        <v>18</v>
      </c>
      <c r="BE55" s="4"/>
    </row>
    <row r="56" spans="1:57" s="9" customFormat="1" ht="11.25" hidden="1">
      <c r="A56" s="26"/>
      <c r="B56" s="9" t="str">
        <f>"ETIKETT CIMKE"</f>
        <v>ETIKETT CIMKE</v>
      </c>
      <c r="C56" s="9" t="str">
        <f>"105X058 MM"</f>
        <v>105X058 MM</v>
      </c>
      <c r="D56" s="20" t="s">
        <v>18</v>
      </c>
      <c r="E56" s="4"/>
      <c r="F56" s="17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0"/>
      <c r="AB56" s="4"/>
      <c r="AC56" s="4"/>
      <c r="AD56" s="4"/>
      <c r="AE56" s="4"/>
      <c r="AF56" s="4"/>
      <c r="AG56" s="4"/>
      <c r="AH56" s="4"/>
      <c r="AI56" s="4"/>
      <c r="AJ56" s="4"/>
      <c r="AK56" s="19"/>
      <c r="AL56" s="4"/>
      <c r="AM56" s="6"/>
      <c r="AN56" s="4"/>
      <c r="AO56" s="4"/>
      <c r="AP56" s="4"/>
      <c r="AQ56" s="4"/>
      <c r="AR56" s="4"/>
      <c r="AS56" s="4"/>
      <c r="AT56" s="4"/>
      <c r="AU56" s="18"/>
      <c r="AV56" s="18"/>
      <c r="AW56" s="18"/>
      <c r="AX56" s="4"/>
      <c r="AY56" s="4"/>
      <c r="AZ56" s="4"/>
      <c r="BA56" s="4"/>
      <c r="BB56" s="4"/>
      <c r="BC56" s="5">
        <f t="shared" si="2"/>
        <v>0</v>
      </c>
      <c r="BD56" s="33" t="s">
        <v>18</v>
      </c>
      <c r="BE56" s="4"/>
    </row>
    <row r="57" spans="1:57" s="9" customFormat="1" ht="11.25" hidden="1">
      <c r="A57" s="26"/>
      <c r="B57" s="9" t="str">
        <f>"ETIKETT CIMKE"</f>
        <v>ETIKETT CIMKE</v>
      </c>
      <c r="C57" s="9" t="str">
        <f>"35 MM"</f>
        <v>35 MM</v>
      </c>
      <c r="D57" s="20" t="s">
        <v>18</v>
      </c>
      <c r="E57" s="4"/>
      <c r="F57" s="17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0"/>
      <c r="AB57" s="4"/>
      <c r="AC57" s="4"/>
      <c r="AD57" s="4"/>
      <c r="AE57" s="4"/>
      <c r="AF57" s="4"/>
      <c r="AG57" s="4"/>
      <c r="AH57" s="4"/>
      <c r="AI57" s="4"/>
      <c r="AJ57" s="4"/>
      <c r="AK57" s="19"/>
      <c r="AL57" s="4"/>
      <c r="AM57" s="6"/>
      <c r="AN57" s="4"/>
      <c r="AO57" s="4"/>
      <c r="AP57" s="4"/>
      <c r="AQ57" s="4"/>
      <c r="AR57" s="4"/>
      <c r="AS57" s="4"/>
      <c r="AT57" s="4"/>
      <c r="AU57" s="18"/>
      <c r="AV57" s="18"/>
      <c r="AW57" s="18"/>
      <c r="AX57" s="4"/>
      <c r="AY57" s="4"/>
      <c r="AZ57" s="4"/>
      <c r="BA57" s="4"/>
      <c r="BB57" s="4"/>
      <c r="BC57" s="5">
        <f t="shared" si="2"/>
        <v>0</v>
      </c>
      <c r="BD57" s="33" t="s">
        <v>18</v>
      </c>
      <c r="BE57" s="4"/>
    </row>
    <row r="58" spans="1:57" s="9" customFormat="1" ht="11.25" hidden="1">
      <c r="A58" s="26"/>
      <c r="B58" s="9" t="str">
        <f>"ETIKETT CIMKE"</f>
        <v>ETIKETT CIMKE</v>
      </c>
      <c r="D58" s="20" t="s">
        <v>18</v>
      </c>
      <c r="E58" s="4"/>
      <c r="F58" s="17"/>
      <c r="G58" s="4"/>
      <c r="H58" s="4"/>
      <c r="I58" s="4"/>
      <c r="J58" s="4"/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0"/>
      <c r="AB58" s="4"/>
      <c r="AC58" s="4"/>
      <c r="AD58" s="4"/>
      <c r="AE58" s="4"/>
      <c r="AF58" s="4"/>
      <c r="AG58" s="4"/>
      <c r="AH58" s="4"/>
      <c r="AI58" s="4"/>
      <c r="AJ58" s="4"/>
      <c r="AK58" s="19"/>
      <c r="AL58" s="4"/>
      <c r="AM58" s="6"/>
      <c r="AN58" s="4"/>
      <c r="AO58" s="4"/>
      <c r="AP58" s="4"/>
      <c r="AQ58" s="4"/>
      <c r="AR58" s="4"/>
      <c r="AS58" s="4"/>
      <c r="AT58" s="4"/>
      <c r="AU58" s="18"/>
      <c r="AV58" s="18"/>
      <c r="AW58" s="18"/>
      <c r="AX58" s="4"/>
      <c r="AY58" s="4"/>
      <c r="AZ58" s="4"/>
      <c r="BA58" s="4"/>
      <c r="BB58" s="4"/>
      <c r="BC58" s="5">
        <f t="shared" si="2"/>
        <v>0</v>
      </c>
      <c r="BD58" s="33" t="s">
        <v>18</v>
      </c>
      <c r="BE58" s="4"/>
    </row>
    <row r="59" spans="1:57" s="9" customFormat="1" ht="11.25">
      <c r="A59" s="26" t="s">
        <v>162</v>
      </c>
      <c r="B59" s="9" t="s">
        <v>100</v>
      </c>
      <c r="D59" s="20" t="s">
        <v>18</v>
      </c>
      <c r="E59" s="4"/>
      <c r="F59" s="17"/>
      <c r="G59" s="4"/>
      <c r="H59" s="4">
        <v>1</v>
      </c>
      <c r="I59" s="4"/>
      <c r="J59" s="4"/>
      <c r="K59" s="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1</v>
      </c>
      <c r="Z59" s="4"/>
      <c r="AA59" s="10"/>
      <c r="AB59" s="4"/>
      <c r="AC59" s="4"/>
      <c r="AD59" s="4"/>
      <c r="AE59" s="4"/>
      <c r="AF59" s="4"/>
      <c r="AG59" s="4"/>
      <c r="AH59" s="4"/>
      <c r="AI59" s="4"/>
      <c r="AJ59" s="4"/>
      <c r="AK59" s="19"/>
      <c r="AL59" s="4"/>
      <c r="AM59" s="6"/>
      <c r="AN59" s="4"/>
      <c r="AO59" s="4"/>
      <c r="AP59" s="4"/>
      <c r="AQ59" s="4"/>
      <c r="AR59" s="4"/>
      <c r="AS59" s="4"/>
      <c r="AT59" s="4"/>
      <c r="AU59" s="18"/>
      <c r="AV59" s="18"/>
      <c r="AW59" s="18"/>
      <c r="AX59" s="4"/>
      <c r="AY59" s="4"/>
      <c r="AZ59" s="4"/>
      <c r="BA59" s="4"/>
      <c r="BB59" s="4"/>
      <c r="BC59" s="5">
        <f t="shared" si="2"/>
        <v>2</v>
      </c>
      <c r="BD59" s="33" t="s">
        <v>18</v>
      </c>
      <c r="BE59" s="4"/>
    </row>
    <row r="60" spans="1:57" s="8" customFormat="1" ht="11.25">
      <c r="A60" s="26" t="s">
        <v>163</v>
      </c>
      <c r="B60" s="9" t="str">
        <f>"DOSSZIÉ (MŰANYAG HÁTLAPOS) FŰZŐS"</f>
        <v>DOSSZIÉ (MŰANYAG HÁTLAPOS) FŰZŐS</v>
      </c>
      <c r="C60" s="9" t="s">
        <v>69</v>
      </c>
      <c r="D60" s="20" t="s">
        <v>18</v>
      </c>
      <c r="E60" s="4"/>
      <c r="F60" s="17"/>
      <c r="G60" s="4">
        <v>10</v>
      </c>
      <c r="H60" s="4">
        <v>20</v>
      </c>
      <c r="I60" s="4">
        <v>5</v>
      </c>
      <c r="J60" s="4"/>
      <c r="K60" s="4"/>
      <c r="L60" s="4"/>
      <c r="M60" s="4"/>
      <c r="N60" s="4"/>
      <c r="O60" s="4">
        <v>50</v>
      </c>
      <c r="P60" s="4"/>
      <c r="Q60" s="4"/>
      <c r="R60" s="4"/>
      <c r="S60" s="4"/>
      <c r="T60" s="4"/>
      <c r="U60" s="4">
        <v>3</v>
      </c>
      <c r="V60" s="4"/>
      <c r="W60" s="4"/>
      <c r="X60" s="4"/>
      <c r="Y60" s="4"/>
      <c r="Z60" s="4"/>
      <c r="AA60" s="10"/>
      <c r="AB60" s="4"/>
      <c r="AC60" s="4"/>
      <c r="AD60" s="4"/>
      <c r="AE60" s="4"/>
      <c r="AF60" s="4"/>
      <c r="AG60" s="4"/>
      <c r="AH60" s="4"/>
      <c r="AI60" s="4"/>
      <c r="AJ60" s="4"/>
      <c r="AK60" s="17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5">
        <f t="shared" si="2"/>
        <v>88</v>
      </c>
      <c r="BD60" s="33" t="s">
        <v>18</v>
      </c>
      <c r="BE60" s="5"/>
    </row>
    <row r="61" spans="1:57" s="9" customFormat="1" ht="11.25" hidden="1">
      <c r="A61" s="26"/>
      <c r="B61" s="9" t="str">
        <f>"ETIKETT CIMKE (DATALINE)"</f>
        <v>ETIKETT CIMKE (DATALINE)</v>
      </c>
      <c r="C61" s="9" t="str">
        <f>"99,1X57 MM"</f>
        <v>99,1X57 MM</v>
      </c>
      <c r="D61" s="17"/>
      <c r="E61" s="4"/>
      <c r="F61" s="1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0"/>
      <c r="AB61" s="4"/>
      <c r="AC61" s="4"/>
      <c r="AD61" s="4"/>
      <c r="AE61" s="4"/>
      <c r="AF61" s="4"/>
      <c r="AG61" s="4"/>
      <c r="AH61" s="4"/>
      <c r="AI61" s="4"/>
      <c r="AJ61" s="4"/>
      <c r="AK61" s="17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5">
        <f t="shared" si="2"/>
        <v>0</v>
      </c>
      <c r="BD61" s="32"/>
      <c r="BE61" s="4"/>
    </row>
    <row r="62" spans="1:57" s="9" customFormat="1" ht="11.25" hidden="1">
      <c r="A62" s="26"/>
      <c r="B62" s="9" t="str">
        <f>"ETIKETT CIMKE (PÁTRIA)"</f>
        <v>ETIKETT CIMKE (PÁTRIA)</v>
      </c>
      <c r="C62" s="9" t="str">
        <f>"115X086 MM"</f>
        <v>115X086 MM</v>
      </c>
      <c r="D62" s="17"/>
      <c r="E62" s="4"/>
      <c r="F62" s="1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0"/>
      <c r="AB62" s="4"/>
      <c r="AC62" s="4"/>
      <c r="AD62" s="4"/>
      <c r="AE62" s="4"/>
      <c r="AF62" s="4"/>
      <c r="AG62" s="4"/>
      <c r="AH62" s="4"/>
      <c r="AI62" s="4"/>
      <c r="AJ62" s="4"/>
      <c r="AK62" s="17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5">
        <f t="shared" si="2"/>
        <v>0</v>
      </c>
      <c r="BD62" s="32"/>
      <c r="BE62" s="4"/>
    </row>
    <row r="63" spans="1:57" s="9" customFormat="1" ht="11.25" hidden="1">
      <c r="A63" s="26"/>
      <c r="B63" s="9" t="str">
        <f>"ETIKETT CIMKE (PÁTRIA)"</f>
        <v>ETIKETT CIMKE (PÁTRIA)</v>
      </c>
      <c r="C63" s="9" t="str">
        <f>"63,5X38,1 MM"</f>
        <v>63,5X38,1 MM</v>
      </c>
      <c r="D63" s="17"/>
      <c r="E63" s="4"/>
      <c r="F63" s="1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0"/>
      <c r="AB63" s="4"/>
      <c r="AC63" s="4"/>
      <c r="AD63" s="4"/>
      <c r="AE63" s="4"/>
      <c r="AF63" s="4"/>
      <c r="AG63" s="4"/>
      <c r="AH63" s="4"/>
      <c r="AI63" s="4"/>
      <c r="AJ63" s="4"/>
      <c r="AK63" s="17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5">
        <f t="shared" si="2"/>
        <v>0</v>
      </c>
      <c r="BD63" s="32"/>
      <c r="BE63" s="4"/>
    </row>
    <row r="64" spans="1:57" s="9" customFormat="1" ht="11.25" hidden="1">
      <c r="A64" s="26"/>
      <c r="B64" s="9" t="str">
        <f>"ETIKETT CIMKE (PÁTRIA)"</f>
        <v>ETIKETT CIMKE (PÁTRIA)</v>
      </c>
      <c r="C64" s="9" t="str">
        <f>"89,0X35,0 MM"</f>
        <v>89,0X35,0 MM</v>
      </c>
      <c r="D64" s="17"/>
      <c r="E64" s="4"/>
      <c r="F64" s="1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0"/>
      <c r="AB64" s="4"/>
      <c r="AC64" s="4"/>
      <c r="AD64" s="4"/>
      <c r="AE64" s="4"/>
      <c r="AF64" s="4"/>
      <c r="AG64" s="4"/>
      <c r="AH64" s="4"/>
      <c r="AI64" s="4"/>
      <c r="AJ64" s="4"/>
      <c r="AK64" s="17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5">
        <f t="shared" si="2"/>
        <v>0</v>
      </c>
      <c r="BD64" s="32"/>
      <c r="BE64" s="4"/>
    </row>
    <row r="65" spans="1:57" s="9" customFormat="1" ht="11.25" hidden="1">
      <c r="A65" s="26"/>
      <c r="B65" s="9" t="str">
        <f>"ETIKETT CIMKE (STENDFORM)"</f>
        <v>ETIKETT CIMKE (STENDFORM)</v>
      </c>
      <c r="C65" s="9" t="str">
        <f>"210X148 MM"</f>
        <v>210X148 MM</v>
      </c>
      <c r="D65" s="17"/>
      <c r="E65" s="4"/>
      <c r="F65" s="1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10"/>
      <c r="AB65" s="4"/>
      <c r="AC65" s="4"/>
      <c r="AD65" s="4"/>
      <c r="AE65" s="4"/>
      <c r="AF65" s="4"/>
      <c r="AG65" s="4"/>
      <c r="AH65" s="4"/>
      <c r="AI65" s="4"/>
      <c r="AJ65" s="4"/>
      <c r="AK65" s="17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5">
        <f t="shared" si="2"/>
        <v>0</v>
      </c>
      <c r="BD65" s="32"/>
      <c r="BE65" s="4"/>
    </row>
    <row r="66" spans="1:57" s="9" customFormat="1" ht="11.25" hidden="1">
      <c r="A66" s="26"/>
      <c r="B66" s="9" t="str">
        <f>"ETIKETT CIMKE (STENDFORM)"</f>
        <v>ETIKETT CIMKE (STENDFORM)</v>
      </c>
      <c r="C66" s="9" t="str">
        <f>"210X297 MM"</f>
        <v>210X297 MM</v>
      </c>
      <c r="D66" s="17"/>
      <c r="E66" s="4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0"/>
      <c r="AB66" s="4"/>
      <c r="AC66" s="4"/>
      <c r="AD66" s="4"/>
      <c r="AE66" s="4"/>
      <c r="AF66" s="4"/>
      <c r="AG66" s="4"/>
      <c r="AH66" s="4"/>
      <c r="AI66" s="4"/>
      <c r="AJ66" s="4"/>
      <c r="AK66" s="17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5">
        <f t="shared" si="2"/>
        <v>0</v>
      </c>
      <c r="BD66" s="32"/>
      <c r="BE66" s="4"/>
    </row>
    <row r="67" spans="1:57" s="9" customFormat="1" ht="11.25" hidden="1">
      <c r="A67" s="26"/>
      <c r="B67" s="9" t="str">
        <f>"FAXFILM (FÓLIA)"</f>
        <v>FAXFILM (FÓLIA)</v>
      </c>
      <c r="C67" s="9" t="str">
        <f>"PANASONIC KX-FA 54X"</f>
        <v>PANASONIC KX-FA 54X</v>
      </c>
      <c r="D67" s="17"/>
      <c r="E67" s="4"/>
      <c r="F67" s="1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0"/>
      <c r="AB67" s="4"/>
      <c r="AC67" s="4"/>
      <c r="AD67" s="4"/>
      <c r="AE67" s="4"/>
      <c r="AF67" s="4"/>
      <c r="AG67" s="4"/>
      <c r="AH67" s="4"/>
      <c r="AI67" s="4"/>
      <c r="AJ67" s="4"/>
      <c r="AK67" s="17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5">
        <f t="shared" si="2"/>
        <v>0</v>
      </c>
      <c r="BD67" s="32"/>
      <c r="BE67" s="4"/>
    </row>
    <row r="68" spans="1:59" s="8" customFormat="1" ht="11.25" hidden="1">
      <c r="A68" s="26"/>
      <c r="B68" s="9" t="str">
        <f>"FELÍRÓTÁBLA"</f>
        <v>FELÍRÓTÁBLA</v>
      </c>
      <c r="C68" s="9" t="str">
        <f>"A/4"</f>
        <v>A/4</v>
      </c>
      <c r="D68" s="20"/>
      <c r="E68" s="5"/>
      <c r="F68" s="1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1"/>
      <c r="AB68" s="5"/>
      <c r="AC68" s="5"/>
      <c r="AD68" s="5"/>
      <c r="AE68" s="5"/>
      <c r="AF68" s="5"/>
      <c r="AG68" s="5"/>
      <c r="AH68" s="5"/>
      <c r="AI68" s="5"/>
      <c r="AJ68" s="5"/>
      <c r="AK68" s="17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>
        <f t="shared" si="2"/>
        <v>0</v>
      </c>
      <c r="BD68" s="33"/>
      <c r="BE68" s="5"/>
      <c r="BG68" s="9"/>
    </row>
    <row r="69" spans="1:57" s="9" customFormat="1" ht="11.25" hidden="1">
      <c r="A69" s="26"/>
      <c r="B69" s="9" t="str">
        <f>"FELTÉTEL MEGHATÁROZÁS ALKALOMSZERŰ"</f>
        <v>FELTÉTEL MEGHATÁROZÁS ALKALOMSZERŰ</v>
      </c>
      <c r="C69" s="9" t="str">
        <f>"TŰZVESZÉLYES TEVÉKENYSÉG VÉGZÉSÉHEZ"</f>
        <v>TŰZVESZÉLYES TEVÉKENYSÉG VÉGZÉSÉHEZ</v>
      </c>
      <c r="D69" s="17"/>
      <c r="E69" s="4"/>
      <c r="F69" s="1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0"/>
      <c r="AB69" s="4"/>
      <c r="AC69" s="4"/>
      <c r="AD69" s="4"/>
      <c r="AE69" s="4"/>
      <c r="AF69" s="4"/>
      <c r="AG69" s="4"/>
      <c r="AH69" s="4"/>
      <c r="AI69" s="4"/>
      <c r="AJ69" s="4"/>
      <c r="AK69" s="17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>
        <f t="shared" si="2"/>
        <v>0</v>
      </c>
      <c r="BD69" s="32"/>
      <c r="BE69" s="4"/>
    </row>
    <row r="70" spans="1:59" s="9" customFormat="1" ht="11.25" hidden="1">
      <c r="A70" s="26"/>
      <c r="B70" s="9" t="str">
        <f>"FELVÁSÁRLÁSI JEGY"</f>
        <v>FELVÁSÁRLÁSI JEGY</v>
      </c>
      <c r="D70" s="17"/>
      <c r="E70" s="4"/>
      <c r="F70" s="1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0"/>
      <c r="AB70" s="4"/>
      <c r="AC70" s="4"/>
      <c r="AD70" s="4"/>
      <c r="AE70" s="4"/>
      <c r="AF70" s="4"/>
      <c r="AG70" s="4"/>
      <c r="AH70" s="4"/>
      <c r="AI70" s="4"/>
      <c r="AJ70" s="4"/>
      <c r="AK70" s="17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>
        <f t="shared" si="2"/>
        <v>0</v>
      </c>
      <c r="BD70" s="32"/>
      <c r="BE70" s="4"/>
      <c r="BG70" s="8"/>
    </row>
    <row r="71" spans="1:57" s="8" customFormat="1" ht="11.25" hidden="1">
      <c r="A71" s="26"/>
      <c r="B71" s="9" t="str">
        <f>"FÉNYMÁSOLÓ PAPÍR (CANON)"</f>
        <v>FÉNYMÁSOLÓ PAPÍR (CANON)</v>
      </c>
      <c r="C71" s="9" t="str">
        <f>"A/4 (80 GRAMM)"</f>
        <v>A/4 (80 GRAMM)</v>
      </c>
      <c r="D71" s="20"/>
      <c r="E71" s="5"/>
      <c r="F71" s="1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1"/>
      <c r="AB71" s="5"/>
      <c r="AC71" s="5"/>
      <c r="AD71" s="5"/>
      <c r="AE71" s="5"/>
      <c r="AF71" s="5"/>
      <c r="AG71" s="5"/>
      <c r="AH71" s="5"/>
      <c r="AI71" s="5"/>
      <c r="AJ71" s="5"/>
      <c r="AK71" s="17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>
        <f t="shared" si="2"/>
        <v>0</v>
      </c>
      <c r="BD71" s="33"/>
      <c r="BE71" s="5"/>
    </row>
    <row r="72" spans="1:57" s="8" customFormat="1" ht="11.25" hidden="1">
      <c r="A72" s="26"/>
      <c r="B72" s="9" t="str">
        <f>"FÉNYMÁSOLÓ PAPÍR (CLAIREFONTAINE)"</f>
        <v>FÉNYMÁSOLÓ PAPÍR (CLAIREFONTAINE)</v>
      </c>
      <c r="C72" s="9" t="str">
        <f>"A/4"</f>
        <v>A/4</v>
      </c>
      <c r="D72" s="20"/>
      <c r="E72" s="5"/>
      <c r="F72" s="1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11"/>
      <c r="AB72" s="5"/>
      <c r="AC72" s="5"/>
      <c r="AD72" s="5"/>
      <c r="AE72" s="5"/>
      <c r="AF72" s="5"/>
      <c r="AG72" s="5"/>
      <c r="AH72" s="5"/>
      <c r="AI72" s="5"/>
      <c r="AJ72" s="5"/>
      <c r="AK72" s="17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>
        <f t="shared" si="2"/>
        <v>0</v>
      </c>
      <c r="BD72" s="33"/>
      <c r="BE72" s="5"/>
    </row>
    <row r="73" spans="1:57" s="8" customFormat="1" ht="11.25" hidden="1">
      <c r="A73" s="26"/>
      <c r="B73" s="9" t="str">
        <f>"FÉNYMÁSOLÓ PAPÍR (IBM)"</f>
        <v>FÉNYMÁSOLÓ PAPÍR (IBM)</v>
      </c>
      <c r="C73" s="9" t="str">
        <f>"A/4 (80 GRAMM)"</f>
        <v>A/4 (80 GRAMM)</v>
      </c>
      <c r="D73" s="20"/>
      <c r="E73" s="5"/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11"/>
      <c r="AB73" s="5"/>
      <c r="AC73" s="5"/>
      <c r="AD73" s="5"/>
      <c r="AE73" s="5"/>
      <c r="AF73" s="5"/>
      <c r="AG73" s="5"/>
      <c r="AH73" s="5"/>
      <c r="AI73" s="5"/>
      <c r="AJ73" s="5"/>
      <c r="AK73" s="17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>
        <f t="shared" si="2"/>
        <v>0</v>
      </c>
      <c r="BD73" s="33"/>
      <c r="BE73" s="5"/>
    </row>
    <row r="74" spans="1:57" s="8" customFormat="1" ht="11.25" hidden="1">
      <c r="A74" s="26"/>
      <c r="B74" s="9" t="str">
        <f>"FÉNYMÁSOLÓ PAPÍR (REY COPY)"</f>
        <v>FÉNYMÁSOLÓ PAPÍR (REY COPY)</v>
      </c>
      <c r="C74" s="9" t="str">
        <f>"A/3 (80 GRAMM)"</f>
        <v>A/3 (80 GRAMM)</v>
      </c>
      <c r="D74" s="20"/>
      <c r="E74" s="5"/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1"/>
      <c r="AB74" s="5"/>
      <c r="AC74" s="5"/>
      <c r="AD74" s="5"/>
      <c r="AE74" s="5"/>
      <c r="AF74" s="5"/>
      <c r="AG74" s="5"/>
      <c r="AH74" s="5"/>
      <c r="AI74" s="5"/>
      <c r="AJ74" s="5"/>
      <c r="AK74" s="17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>
        <f t="shared" si="2"/>
        <v>0</v>
      </c>
      <c r="BD74" s="33"/>
      <c r="BE74" s="5"/>
    </row>
    <row r="75" spans="1:57" s="8" customFormat="1" ht="11.25" hidden="1">
      <c r="A75" s="26"/>
      <c r="B75" s="9" t="str">
        <f>"FÉNYMÁSOLÓ PAPÍR (REY COPY)"</f>
        <v>FÉNYMÁSOLÓ PAPÍR (REY COPY)</v>
      </c>
      <c r="C75" s="9" t="str">
        <f>"A/4 (80 GRAMM)"</f>
        <v>A/4 (80 GRAMM)</v>
      </c>
      <c r="D75" s="20"/>
      <c r="E75" s="5"/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1"/>
      <c r="AB75" s="5"/>
      <c r="AC75" s="5"/>
      <c r="AD75" s="5"/>
      <c r="AE75" s="5"/>
      <c r="AF75" s="5"/>
      <c r="AG75" s="5"/>
      <c r="AH75" s="5"/>
      <c r="AI75" s="5"/>
      <c r="AJ75" s="5"/>
      <c r="AK75" s="17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>
        <f t="shared" si="2"/>
        <v>0</v>
      </c>
      <c r="BD75" s="33"/>
      <c r="BE75" s="5"/>
    </row>
    <row r="76" spans="1:57" s="9" customFormat="1" ht="11.25">
      <c r="A76" s="26" t="s">
        <v>164</v>
      </c>
      <c r="B76" s="9" t="str">
        <f>"DOSSZIÉ (MŰANYAG HÁTLAPOS) FŰZŐS"</f>
        <v>DOSSZIÉ (MŰANYAG HÁTLAPOS) FŰZŐS</v>
      </c>
      <c r="C76" s="9" t="s">
        <v>91</v>
      </c>
      <c r="D76" s="20" t="s">
        <v>18</v>
      </c>
      <c r="E76" s="5"/>
      <c r="F76" s="17"/>
      <c r="G76" s="5"/>
      <c r="H76" s="5">
        <v>20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3</v>
      </c>
      <c r="V76" s="5"/>
      <c r="W76" s="5"/>
      <c r="X76" s="5"/>
      <c r="Y76" s="5"/>
      <c r="Z76" s="5"/>
      <c r="AA76" s="11"/>
      <c r="AB76" s="5"/>
      <c r="AC76" s="5"/>
      <c r="AD76" s="5"/>
      <c r="AE76" s="5"/>
      <c r="AF76" s="5"/>
      <c r="AG76" s="5"/>
      <c r="AH76" s="5"/>
      <c r="AI76" s="5"/>
      <c r="AJ76" s="5"/>
      <c r="AK76" s="17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>
        <f t="shared" si="2"/>
        <v>23</v>
      </c>
      <c r="BD76" s="33" t="s">
        <v>18</v>
      </c>
      <c r="BE76" s="4"/>
    </row>
    <row r="77" spans="1:57" s="9" customFormat="1" ht="11.25" hidden="1">
      <c r="A77" s="26"/>
      <c r="B77" s="9" t="str">
        <f>"FESTÉFHENGER 1220C."</f>
        <v>FESTÉFHENGER 1220C.</v>
      </c>
      <c r="D77" s="17"/>
      <c r="E77" s="4"/>
      <c r="F77" s="1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0"/>
      <c r="AB77" s="4"/>
      <c r="AC77" s="4"/>
      <c r="AD77" s="4"/>
      <c r="AE77" s="4"/>
      <c r="AF77" s="4"/>
      <c r="AG77" s="4"/>
      <c r="AH77" s="4"/>
      <c r="AI77" s="4"/>
      <c r="AJ77" s="4"/>
      <c r="AK77" s="17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>
        <f t="shared" si="2"/>
        <v>0</v>
      </c>
      <c r="BD77" s="32"/>
      <c r="BE77" s="4"/>
    </row>
    <row r="78" spans="1:57" s="9" customFormat="1" ht="11.25" hidden="1">
      <c r="A78" s="26"/>
      <c r="B78" s="9" t="str">
        <f>"FESTÉFHENGER HP 7115"</f>
        <v>FESTÉFHENGER HP 7115</v>
      </c>
      <c r="D78" s="17"/>
      <c r="E78" s="4"/>
      <c r="F78" s="1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0"/>
      <c r="AB78" s="4"/>
      <c r="AC78" s="4"/>
      <c r="AD78" s="4"/>
      <c r="AE78" s="4"/>
      <c r="AF78" s="4"/>
      <c r="AG78" s="4"/>
      <c r="AH78" s="4"/>
      <c r="AI78" s="4"/>
      <c r="AJ78" s="4"/>
      <c r="AK78" s="17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>
        <f t="shared" si="2"/>
        <v>0</v>
      </c>
      <c r="BD78" s="32"/>
      <c r="BE78" s="4"/>
    </row>
    <row r="79" spans="1:57" s="9" customFormat="1" ht="11.25" hidden="1">
      <c r="A79" s="26"/>
      <c r="B79" s="9" t="str">
        <f>"FESTÉKHENGER (720MP 212)"</f>
        <v>FESTÉKHENGER (720MP 212)</v>
      </c>
      <c r="C79" s="9" t="str">
        <f>"SHARP ASZTALI SZÁMOLÓGÉPHEZ"</f>
        <v>SHARP ASZTALI SZÁMOLÓGÉPHEZ</v>
      </c>
      <c r="D79" s="17"/>
      <c r="E79" s="4"/>
      <c r="F79" s="1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0"/>
      <c r="AB79" s="4"/>
      <c r="AC79" s="4"/>
      <c r="AD79" s="4"/>
      <c r="AE79" s="4"/>
      <c r="AF79" s="4"/>
      <c r="AG79" s="4"/>
      <c r="AH79" s="4"/>
      <c r="AI79" s="4"/>
      <c r="AJ79" s="4"/>
      <c r="AK79" s="17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>
        <f t="shared" si="2"/>
        <v>0</v>
      </c>
      <c r="BD79" s="32"/>
      <c r="BE79" s="4"/>
    </row>
    <row r="80" spans="1:57" s="9" customFormat="1" ht="11.25" hidden="1">
      <c r="A80" s="26"/>
      <c r="B80" s="9" t="str">
        <f>"FESTÉKPATRON (150)"</f>
        <v>FESTÉKPATRON (150)</v>
      </c>
      <c r="D80" s="17"/>
      <c r="E80" s="4"/>
      <c r="F80" s="1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0"/>
      <c r="AB80" s="4"/>
      <c r="AC80" s="4"/>
      <c r="AD80" s="4"/>
      <c r="AE80" s="4"/>
      <c r="AF80" s="4"/>
      <c r="AG80" s="4"/>
      <c r="AH80" s="4"/>
      <c r="AI80" s="4"/>
      <c r="AJ80" s="4"/>
      <c r="AK80" s="17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>
        <f t="shared" si="2"/>
        <v>0</v>
      </c>
      <c r="BD80" s="32"/>
      <c r="BE80" s="4"/>
    </row>
    <row r="81" spans="1:57" s="9" customFormat="1" ht="11.25" hidden="1">
      <c r="A81" s="26"/>
      <c r="B81" s="9" t="str">
        <f>"FESTÉKPATRON (CANON BC-02)"</f>
        <v>FESTÉKPATRON (CANON BC-02)</v>
      </c>
      <c r="D81" s="17"/>
      <c r="E81" s="4"/>
      <c r="F81" s="1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0"/>
      <c r="AB81" s="4"/>
      <c r="AC81" s="4"/>
      <c r="AD81" s="4"/>
      <c r="AE81" s="4"/>
      <c r="AF81" s="4"/>
      <c r="AG81" s="4"/>
      <c r="AH81" s="4"/>
      <c r="AI81" s="4"/>
      <c r="AJ81" s="4"/>
      <c r="AK81" s="17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>
        <f aca="true" t="shared" si="4" ref="BC81:BC130">SUM(E81:BB81)</f>
        <v>0</v>
      </c>
      <c r="BD81" s="32"/>
      <c r="BE81" s="4"/>
    </row>
    <row r="82" spans="1:57" s="9" customFormat="1" ht="11.25" hidden="1">
      <c r="A82" s="26"/>
      <c r="B82" s="9" t="str">
        <f>"FESTÉKPATRON (CANON BC-02) FEKETE"</f>
        <v>FESTÉKPATRON (CANON BC-02) FEKETE</v>
      </c>
      <c r="D82" s="17"/>
      <c r="E82" s="4"/>
      <c r="F82" s="1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0"/>
      <c r="AB82" s="4"/>
      <c r="AC82" s="4"/>
      <c r="AD82" s="4"/>
      <c r="AE82" s="4"/>
      <c r="AF82" s="4"/>
      <c r="AG82" s="4"/>
      <c r="AH82" s="4"/>
      <c r="AI82" s="4"/>
      <c r="AJ82" s="4"/>
      <c r="AK82" s="17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>
        <f t="shared" si="4"/>
        <v>0</v>
      </c>
      <c r="BD82" s="32"/>
      <c r="BE82" s="4"/>
    </row>
    <row r="83" spans="1:57" s="9" customFormat="1" ht="11.25" hidden="1">
      <c r="A83" s="26"/>
      <c r="B83" s="9" t="str">
        <f>"FESTÉKPATRON (CANON BC-05) SZÍNES"</f>
        <v>FESTÉKPATRON (CANON BC-05) SZÍNES</v>
      </c>
      <c r="D83" s="17"/>
      <c r="E83" s="4"/>
      <c r="F83" s="1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0"/>
      <c r="AB83" s="4"/>
      <c r="AC83" s="4"/>
      <c r="AD83" s="4"/>
      <c r="AE83" s="4"/>
      <c r="AF83" s="4"/>
      <c r="AG83" s="4"/>
      <c r="AH83" s="4"/>
      <c r="AI83" s="4"/>
      <c r="AJ83" s="4"/>
      <c r="AK83" s="17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>
        <f t="shared" si="4"/>
        <v>0</v>
      </c>
      <c r="BD83" s="32"/>
      <c r="BE83" s="4"/>
    </row>
    <row r="84" spans="1:59" s="9" customFormat="1" ht="11.25" hidden="1">
      <c r="A84" s="26"/>
      <c r="B84" s="9" t="str">
        <f>"FESTÉKPATRON (CANON BCI-24)"</f>
        <v>FESTÉKPATRON (CANON BCI-24)</v>
      </c>
      <c r="D84" s="17"/>
      <c r="E84" s="4"/>
      <c r="F84" s="1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0"/>
      <c r="AB84" s="4"/>
      <c r="AC84" s="4"/>
      <c r="AD84" s="4"/>
      <c r="AE84" s="4"/>
      <c r="AF84" s="4"/>
      <c r="AG84" s="4"/>
      <c r="AH84" s="4"/>
      <c r="AI84" s="4"/>
      <c r="AJ84" s="4"/>
      <c r="AK84" s="17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>
        <f t="shared" si="4"/>
        <v>0</v>
      </c>
      <c r="BD84" s="32"/>
      <c r="BE84" s="4"/>
      <c r="BG84" s="8"/>
    </row>
    <row r="85" spans="1:57" s="8" customFormat="1" ht="11.25" hidden="1">
      <c r="A85" s="26"/>
      <c r="B85" s="9" t="str">
        <f>"FOTÓALBUM"</f>
        <v>FOTÓALBUM</v>
      </c>
      <c r="C85" s="9"/>
      <c r="D85" s="20"/>
      <c r="E85" s="5"/>
      <c r="F85" s="1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11"/>
      <c r="AB85" s="5"/>
      <c r="AC85" s="5"/>
      <c r="AD85" s="5"/>
      <c r="AE85" s="5"/>
      <c r="AF85" s="5"/>
      <c r="AG85" s="5"/>
      <c r="AH85" s="5"/>
      <c r="AI85" s="5"/>
      <c r="AJ85" s="5"/>
      <c r="AK85" s="17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>
        <f t="shared" si="4"/>
        <v>0</v>
      </c>
      <c r="BD85" s="33"/>
      <c r="BE85" s="5"/>
    </row>
    <row r="86" spans="1:57" s="8" customFormat="1" ht="11.25" hidden="1">
      <c r="A86" s="26"/>
      <c r="B86" s="9" t="str">
        <f>"FOTÓPAPÍR (EPSON PHOTO QUALITY)"</f>
        <v>FOTÓPAPÍR (EPSON PHOTO QUALITY)</v>
      </c>
      <c r="C86" s="9" t="str">
        <f>"A/4 (102GR/M2) 100DB-OS"</f>
        <v>A/4 (102GR/M2) 100DB-OS</v>
      </c>
      <c r="D86" s="20"/>
      <c r="E86" s="5"/>
      <c r="F86" s="1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1"/>
      <c r="AB86" s="5"/>
      <c r="AC86" s="5"/>
      <c r="AD86" s="5"/>
      <c r="AE86" s="5"/>
      <c r="AF86" s="5"/>
      <c r="AG86" s="5"/>
      <c r="AH86" s="5"/>
      <c r="AI86" s="5"/>
      <c r="AJ86" s="5"/>
      <c r="AK86" s="17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>
        <f t="shared" si="4"/>
        <v>0</v>
      </c>
      <c r="BD86" s="33"/>
      <c r="BE86" s="5"/>
    </row>
    <row r="87" spans="1:57" s="8" customFormat="1" ht="11.25" hidden="1">
      <c r="A87" s="26"/>
      <c r="B87" s="9" t="str">
        <f>"FOTÓPAPÍR (HP)"</f>
        <v>FOTÓPAPÍR (HP)</v>
      </c>
      <c r="C87" s="9" t="str">
        <f>"A/4"</f>
        <v>A/4</v>
      </c>
      <c r="D87" s="20"/>
      <c r="E87" s="5"/>
      <c r="F87" s="1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11"/>
      <c r="AB87" s="5"/>
      <c r="AC87" s="5"/>
      <c r="AD87" s="5"/>
      <c r="AE87" s="5"/>
      <c r="AF87" s="5"/>
      <c r="AG87" s="5"/>
      <c r="AH87" s="5"/>
      <c r="AI87" s="5"/>
      <c r="AJ87" s="5"/>
      <c r="AK87" s="17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>
        <f t="shared" si="4"/>
        <v>0</v>
      </c>
      <c r="BD87" s="33"/>
      <c r="BE87" s="5"/>
    </row>
    <row r="88" spans="1:57" s="8" customFormat="1" ht="11.25" hidden="1">
      <c r="A88" s="26"/>
      <c r="B88" s="9" t="str">
        <f>"FOTÓPAPÍR (HP)"</f>
        <v>FOTÓPAPÍR (HP)</v>
      </c>
      <c r="C88" s="9" t="str">
        <f>"A/4"</f>
        <v>A/4</v>
      </c>
      <c r="D88" s="20"/>
      <c r="E88" s="5"/>
      <c r="F88" s="1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11"/>
      <c r="AB88" s="5"/>
      <c r="AC88" s="5"/>
      <c r="AD88" s="5"/>
      <c r="AE88" s="5"/>
      <c r="AF88" s="5"/>
      <c r="AG88" s="5"/>
      <c r="AH88" s="5"/>
      <c r="AI88" s="5"/>
      <c r="AJ88" s="5"/>
      <c r="AK88" s="17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>
        <f t="shared" si="4"/>
        <v>0</v>
      </c>
      <c r="BD88" s="33"/>
      <c r="BE88" s="5"/>
    </row>
    <row r="89" spans="1:57" s="8" customFormat="1" ht="11.25" hidden="1">
      <c r="A89" s="26"/>
      <c r="B89" s="9" t="str">
        <f>"FRANCIAKOCKÁS LAP"</f>
        <v>FRANCIAKOCKÁS LAP</v>
      </c>
      <c r="C89" s="9" t="str">
        <f>"A/3"</f>
        <v>A/3</v>
      </c>
      <c r="D89" s="20"/>
      <c r="E89" s="5"/>
      <c r="F89" s="1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11"/>
      <c r="AB89" s="5"/>
      <c r="AC89" s="5"/>
      <c r="AD89" s="5"/>
      <c r="AE89" s="5"/>
      <c r="AF89" s="5"/>
      <c r="AG89" s="5"/>
      <c r="AH89" s="5"/>
      <c r="AI89" s="5"/>
      <c r="AJ89" s="5"/>
      <c r="AK89" s="17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>
        <f t="shared" si="4"/>
        <v>0</v>
      </c>
      <c r="BD89" s="33"/>
      <c r="BE89" s="5"/>
    </row>
    <row r="90" spans="1:59" s="8" customFormat="1" ht="11.25" hidden="1">
      <c r="A90" s="26"/>
      <c r="B90" s="9" t="str">
        <f>"FRANCIAKOCKÁS LAP (RASZTER RÁCSOS)"</f>
        <v>FRANCIAKOCKÁS LAP (RASZTER RÁCSOS)</v>
      </c>
      <c r="C90" s="9" t="str">
        <f>"A/4"</f>
        <v>A/4</v>
      </c>
      <c r="D90" s="20"/>
      <c r="E90" s="5"/>
      <c r="F90" s="1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11"/>
      <c r="AB90" s="5"/>
      <c r="AC90" s="5"/>
      <c r="AD90" s="5"/>
      <c r="AE90" s="5"/>
      <c r="AF90" s="5"/>
      <c r="AG90" s="5"/>
      <c r="AH90" s="5"/>
      <c r="AI90" s="5"/>
      <c r="AJ90" s="5"/>
      <c r="AK90" s="17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>
        <f t="shared" si="4"/>
        <v>0</v>
      </c>
      <c r="BD90" s="33"/>
      <c r="BE90" s="5"/>
      <c r="BG90" s="9"/>
    </row>
    <row r="91" spans="1:57" s="8" customFormat="1" ht="11.25">
      <c r="A91" s="26" t="s">
        <v>165</v>
      </c>
      <c r="B91" s="9" t="str">
        <f>"DOSSZIÉ (MŰANYAG HÁTLAPOS) FŰZŐS"</f>
        <v>DOSSZIÉ (MŰANYAG HÁTLAPOS) FŰZŐS</v>
      </c>
      <c r="C91" s="9" t="s">
        <v>93</v>
      </c>
      <c r="D91" s="20" t="s">
        <v>18</v>
      </c>
      <c r="E91" s="5"/>
      <c r="F91" s="17"/>
      <c r="G91" s="5"/>
      <c r="H91" s="5">
        <v>20</v>
      </c>
      <c r="I91" s="5"/>
      <c r="J91" s="5"/>
      <c r="K91" s="5"/>
      <c r="L91" s="5">
        <v>10</v>
      </c>
      <c r="M91" s="5"/>
      <c r="N91" s="5"/>
      <c r="O91" s="5"/>
      <c r="P91" s="5"/>
      <c r="Q91" s="5"/>
      <c r="R91" s="5"/>
      <c r="S91" s="5"/>
      <c r="T91" s="5"/>
      <c r="U91" s="5">
        <v>3</v>
      </c>
      <c r="V91" s="5"/>
      <c r="W91" s="5"/>
      <c r="X91" s="5"/>
      <c r="Y91" s="5"/>
      <c r="Z91" s="5"/>
      <c r="AA91" s="11"/>
      <c r="AB91" s="5"/>
      <c r="AC91" s="5"/>
      <c r="AD91" s="5"/>
      <c r="AE91" s="5"/>
      <c r="AF91" s="5"/>
      <c r="AG91" s="5"/>
      <c r="AH91" s="5"/>
      <c r="AI91" s="5"/>
      <c r="AJ91" s="5"/>
      <c r="AK91" s="17"/>
      <c r="AL91" s="5"/>
      <c r="AM91" s="5"/>
      <c r="AN91" s="5"/>
      <c r="AO91" s="5"/>
      <c r="AP91" s="5"/>
      <c r="AQ91" s="5"/>
      <c r="AR91" s="5"/>
      <c r="AS91" s="5"/>
      <c r="AT91" s="5"/>
      <c r="AU91" s="5">
        <v>125</v>
      </c>
      <c r="AV91" s="5"/>
      <c r="AW91" s="5"/>
      <c r="AX91" s="5"/>
      <c r="AY91" s="5"/>
      <c r="AZ91" s="5"/>
      <c r="BA91" s="5">
        <v>10</v>
      </c>
      <c r="BB91" s="5"/>
      <c r="BC91" s="5">
        <f t="shared" si="4"/>
        <v>168</v>
      </c>
      <c r="BD91" s="33" t="s">
        <v>18</v>
      </c>
      <c r="BE91" s="5"/>
    </row>
    <row r="92" spans="1:57" s="8" customFormat="1" ht="11.25" hidden="1">
      <c r="A92" s="26"/>
      <c r="B92" s="9" t="str">
        <f>"DOSSZIÉ (MŰANYAG HÁTLAPOS) FŰZŐS"</f>
        <v>DOSSZIÉ (MŰANYAG HÁTLAPOS) FŰZŐS</v>
      </c>
      <c r="C92" s="9" t="str">
        <f>"A/4"</f>
        <v>A/4</v>
      </c>
      <c r="D92" s="20" t="s">
        <v>18</v>
      </c>
      <c r="E92" s="5"/>
      <c r="F92" s="1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11"/>
      <c r="AB92" s="5"/>
      <c r="AC92" s="5"/>
      <c r="AD92" s="5"/>
      <c r="AE92" s="5"/>
      <c r="AF92" s="5"/>
      <c r="AG92" s="5"/>
      <c r="AH92" s="5"/>
      <c r="AI92" s="5"/>
      <c r="AJ92" s="5"/>
      <c r="AK92" s="17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>
        <f t="shared" si="4"/>
        <v>0</v>
      </c>
      <c r="BD92" s="33" t="s">
        <v>18</v>
      </c>
      <c r="BE92" s="5"/>
    </row>
    <row r="93" spans="1:57" s="8" customFormat="1" ht="11.25">
      <c r="A93" s="26" t="s">
        <v>166</v>
      </c>
      <c r="B93" s="9" t="str">
        <f>"DOSSZIÉ (MŰANYAG HÁTLAPOS) FŰZŐS"</f>
        <v>DOSSZIÉ (MŰANYAG HÁTLAPOS) FŰZŐS</v>
      </c>
      <c r="C93" s="9" t="s">
        <v>92</v>
      </c>
      <c r="D93" s="20" t="s">
        <v>18</v>
      </c>
      <c r="E93" s="5">
        <v>5</v>
      </c>
      <c r="F93" s="1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3</v>
      </c>
      <c r="V93" s="5"/>
      <c r="W93" s="5"/>
      <c r="X93" s="5"/>
      <c r="Y93" s="5"/>
      <c r="Z93" s="5"/>
      <c r="AA93" s="11"/>
      <c r="AB93" s="5"/>
      <c r="AC93" s="5"/>
      <c r="AD93" s="5"/>
      <c r="AE93" s="5"/>
      <c r="AF93" s="5"/>
      <c r="AG93" s="5"/>
      <c r="AH93" s="5"/>
      <c r="AI93" s="5"/>
      <c r="AJ93" s="5"/>
      <c r="AK93" s="17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>
        <f t="shared" si="4"/>
        <v>8</v>
      </c>
      <c r="BD93" s="33" t="s">
        <v>18</v>
      </c>
      <c r="BE93" s="5"/>
    </row>
    <row r="94" spans="1:57" s="8" customFormat="1" ht="11.25">
      <c r="A94" s="26" t="s">
        <v>167</v>
      </c>
      <c r="B94" s="9" t="str">
        <f>"DOSSZIÉ (PAPÍR) FŰZŐS"</f>
        <v>DOSSZIÉ (PAPÍR) FŰZŐS</v>
      </c>
      <c r="C94" s="9" t="str">
        <f>"A/4"</f>
        <v>A/4</v>
      </c>
      <c r="D94" s="20" t="s">
        <v>18</v>
      </c>
      <c r="E94" s="5"/>
      <c r="F94" s="17">
        <v>10</v>
      </c>
      <c r="G94" s="5"/>
      <c r="H94" s="5"/>
      <c r="I94" s="5">
        <v>5</v>
      </c>
      <c r="J94" s="5"/>
      <c r="K94" s="5"/>
      <c r="L94" s="5">
        <v>10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11"/>
      <c r="AB94" s="5"/>
      <c r="AC94" s="5"/>
      <c r="AD94" s="5"/>
      <c r="AE94" s="5"/>
      <c r="AF94" s="5"/>
      <c r="AG94" s="5"/>
      <c r="AH94" s="5"/>
      <c r="AI94" s="5"/>
      <c r="AJ94" s="5"/>
      <c r="AK94" s="17"/>
      <c r="AL94" s="5"/>
      <c r="AM94" s="5"/>
      <c r="AN94" s="5"/>
      <c r="AO94" s="5"/>
      <c r="AP94" s="5"/>
      <c r="AQ94" s="5"/>
      <c r="AR94" s="5"/>
      <c r="AS94" s="5">
        <v>5</v>
      </c>
      <c r="AT94" s="5">
        <v>5</v>
      </c>
      <c r="AU94" s="5"/>
      <c r="AV94" s="5"/>
      <c r="AW94" s="5"/>
      <c r="AX94" s="5"/>
      <c r="AY94" s="5"/>
      <c r="AZ94" s="5"/>
      <c r="BA94" s="5"/>
      <c r="BB94" s="5"/>
      <c r="BC94" s="5">
        <f t="shared" si="4"/>
        <v>35</v>
      </c>
      <c r="BD94" s="33" t="s">
        <v>18</v>
      </c>
      <c r="BE94" s="5"/>
    </row>
    <row r="95" spans="1:57" s="8" customFormat="1" ht="11.25">
      <c r="A95" s="26" t="s">
        <v>168</v>
      </c>
      <c r="B95" s="9" t="str">
        <f>"DOSSZIÉ (PAPÍR) PÓLYÁS-HAJTOGATÓS"</f>
        <v>DOSSZIÉ (PAPÍR) PÓLYÁS-HAJTOGATÓS</v>
      </c>
      <c r="C95" s="9" t="str">
        <f>"A/4"</f>
        <v>A/4</v>
      </c>
      <c r="D95" s="20" t="s">
        <v>18</v>
      </c>
      <c r="E95" s="5"/>
      <c r="F95" s="17">
        <v>10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v>5</v>
      </c>
      <c r="V95" s="5"/>
      <c r="W95" s="5">
        <v>5</v>
      </c>
      <c r="X95" s="5"/>
      <c r="Y95" s="5"/>
      <c r="Z95" s="5"/>
      <c r="AA95" s="11"/>
      <c r="AB95" s="5"/>
      <c r="AC95" s="5"/>
      <c r="AD95" s="5"/>
      <c r="AE95" s="5"/>
      <c r="AF95" s="5"/>
      <c r="AG95" s="5"/>
      <c r="AH95" s="5"/>
      <c r="AI95" s="5"/>
      <c r="AJ95" s="5"/>
      <c r="AK95" s="17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>
        <v>20</v>
      </c>
      <c r="BB95" s="5"/>
      <c r="BC95" s="5">
        <f t="shared" si="4"/>
        <v>40</v>
      </c>
      <c r="BD95" s="33" t="s">
        <v>18</v>
      </c>
      <c r="BE95" s="5"/>
    </row>
    <row r="96" spans="1:57" s="8" customFormat="1" ht="11.25" hidden="1">
      <c r="A96" s="26"/>
      <c r="B96" s="9" t="str">
        <f>"GÉMKAPOCS TARTÓ"</f>
        <v>GÉMKAPOCS TARTÓ</v>
      </c>
      <c r="C96" s="9" t="str">
        <f>"MÁGNESES"</f>
        <v>MÁGNESES</v>
      </c>
      <c r="D96" s="20" t="s">
        <v>18</v>
      </c>
      <c r="E96" s="5"/>
      <c r="F96" s="1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11"/>
      <c r="AB96" s="5"/>
      <c r="AC96" s="5"/>
      <c r="AD96" s="5"/>
      <c r="AE96" s="5"/>
      <c r="AF96" s="5"/>
      <c r="AG96" s="5"/>
      <c r="AH96" s="5"/>
      <c r="AI96" s="5"/>
      <c r="AJ96" s="5"/>
      <c r="AK96" s="17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>
        <f t="shared" si="4"/>
        <v>0</v>
      </c>
      <c r="BD96" s="33" t="s">
        <v>18</v>
      </c>
      <c r="BE96" s="5"/>
    </row>
    <row r="97" spans="1:57" s="8" customFormat="1" ht="11.25" hidden="1">
      <c r="A97" s="26"/>
      <c r="B97" s="9" t="str">
        <f>"GENOTHERMA (FÜLES)"</f>
        <v>GENOTHERMA (FÜLES)</v>
      </c>
      <c r="C97" s="9" t="str">
        <f>"A/4"</f>
        <v>A/4</v>
      </c>
      <c r="D97" s="20" t="s">
        <v>18</v>
      </c>
      <c r="E97" s="5"/>
      <c r="F97" s="1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11"/>
      <c r="AB97" s="5"/>
      <c r="AC97" s="5"/>
      <c r="AD97" s="5"/>
      <c r="AE97" s="5"/>
      <c r="AF97" s="5"/>
      <c r="AG97" s="5"/>
      <c r="AH97" s="5"/>
      <c r="AI97" s="5"/>
      <c r="AJ97" s="5"/>
      <c r="AK97" s="17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>
        <f t="shared" si="4"/>
        <v>0</v>
      </c>
      <c r="BD97" s="33" t="s">
        <v>18</v>
      </c>
      <c r="BE97" s="5"/>
    </row>
    <row r="98" spans="1:57" s="9" customFormat="1" ht="11.25">
      <c r="A98" s="26" t="s">
        <v>169</v>
      </c>
      <c r="B98" s="9" t="s">
        <v>67</v>
      </c>
      <c r="C98" s="1" t="s">
        <v>121</v>
      </c>
      <c r="D98" s="17" t="s">
        <v>28</v>
      </c>
      <c r="E98" s="4"/>
      <c r="F98" s="17"/>
      <c r="G98" s="4">
        <v>5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0"/>
      <c r="AB98" s="4"/>
      <c r="AC98" s="4"/>
      <c r="AD98" s="4"/>
      <c r="AE98" s="4"/>
      <c r="AF98" s="4"/>
      <c r="AG98" s="4"/>
      <c r="AH98" s="4"/>
      <c r="AI98" s="4"/>
      <c r="AJ98" s="4"/>
      <c r="AK98" s="1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5">
        <f t="shared" si="4"/>
        <v>5</v>
      </c>
      <c r="BD98" s="32" t="s">
        <v>28</v>
      </c>
      <c r="BE98" s="4"/>
    </row>
    <row r="99" spans="1:57" s="9" customFormat="1" ht="11.25" hidden="1">
      <c r="A99" s="26"/>
      <c r="B99" s="9" t="str">
        <f>"GOLYÓSTOLL (ÜGYFELES)"</f>
        <v>GOLYÓSTOLL (ÜGYFELES)</v>
      </c>
      <c r="D99" s="20" t="s">
        <v>18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0"/>
      <c r="AB99" s="4"/>
      <c r="AC99" s="4"/>
      <c r="AD99" s="4"/>
      <c r="AE99" s="4"/>
      <c r="AF99" s="4"/>
      <c r="AG99" s="4"/>
      <c r="AH99" s="4"/>
      <c r="AI99" s="4"/>
      <c r="AJ99" s="4"/>
      <c r="AK99" s="17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5">
        <f t="shared" si="4"/>
        <v>0</v>
      </c>
      <c r="BD99" s="33" t="s">
        <v>18</v>
      </c>
      <c r="BE99" s="4"/>
    </row>
    <row r="100" spans="1:57" s="9" customFormat="1" ht="11.25">
      <c r="A100" s="26" t="s">
        <v>170</v>
      </c>
      <c r="B100" s="9" t="s">
        <v>20</v>
      </c>
      <c r="C100" s="9" t="str">
        <f>"A/4 (80 GRAMM)"</f>
        <v>A/4 (80 GRAMM)</v>
      </c>
      <c r="D100" s="20" t="s">
        <v>19</v>
      </c>
      <c r="E100" s="5">
        <v>5</v>
      </c>
      <c r="F100" s="17"/>
      <c r="G100" s="5"/>
      <c r="H100" s="5"/>
      <c r="I100" s="5">
        <v>50</v>
      </c>
      <c r="J100" s="5">
        <v>50</v>
      </c>
      <c r="K100" s="5"/>
      <c r="L100" s="5">
        <v>10</v>
      </c>
      <c r="M100" s="5"/>
      <c r="N100" s="5"/>
      <c r="O100" s="5"/>
      <c r="P100" s="5"/>
      <c r="Q100" s="5"/>
      <c r="R100" s="5">
        <v>5</v>
      </c>
      <c r="S100" s="5"/>
      <c r="T100" s="5"/>
      <c r="U100" s="5">
        <v>1</v>
      </c>
      <c r="V100" s="5"/>
      <c r="W100" s="5"/>
      <c r="X100" s="5"/>
      <c r="Y100" s="5"/>
      <c r="Z100" s="5"/>
      <c r="AA100" s="11"/>
      <c r="AB100" s="5"/>
      <c r="AC100" s="5"/>
      <c r="AD100" s="5"/>
      <c r="AE100" s="5"/>
      <c r="AF100" s="5"/>
      <c r="AG100" s="5"/>
      <c r="AH100" s="5"/>
      <c r="AI100" s="5"/>
      <c r="AJ100" s="5"/>
      <c r="AK100" s="17"/>
      <c r="AL100" s="5"/>
      <c r="AM100" s="5"/>
      <c r="AN100" s="5"/>
      <c r="AO100" s="5">
        <v>50</v>
      </c>
      <c r="AP100" s="5">
        <v>50</v>
      </c>
      <c r="AQ100" s="5">
        <v>50</v>
      </c>
      <c r="AR100" s="5">
        <v>50</v>
      </c>
      <c r="AS100" s="5"/>
      <c r="AT100" s="5"/>
      <c r="AU100" s="5">
        <v>10</v>
      </c>
      <c r="AV100" s="5"/>
      <c r="AW100" s="5"/>
      <c r="AX100" s="5"/>
      <c r="AY100" s="5"/>
      <c r="AZ100" s="5"/>
      <c r="BA100" s="5">
        <v>15</v>
      </c>
      <c r="BB100" s="5">
        <v>100</v>
      </c>
      <c r="BC100" s="5">
        <f t="shared" si="4"/>
        <v>446</v>
      </c>
      <c r="BD100" s="33" t="s">
        <v>19</v>
      </c>
      <c r="BE100" s="4"/>
    </row>
    <row r="101" spans="1:57" s="9" customFormat="1" ht="11.25" hidden="1">
      <c r="A101" s="26"/>
      <c r="B101" s="9" t="str">
        <f>"GOLYÓSTOLL (ZEBRA N5200)"</f>
        <v>GOLYÓSTOLL (ZEBRA N5200)</v>
      </c>
      <c r="D101" s="20" t="s">
        <v>19</v>
      </c>
      <c r="E101" s="4"/>
      <c r="F101" s="1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0"/>
      <c r="AB101" s="4"/>
      <c r="AC101" s="4"/>
      <c r="AD101" s="4"/>
      <c r="AE101" s="4"/>
      <c r="AF101" s="4"/>
      <c r="AG101" s="4"/>
      <c r="AH101" s="4"/>
      <c r="AI101" s="4"/>
      <c r="AJ101" s="4"/>
      <c r="AK101" s="17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5">
        <f t="shared" si="4"/>
        <v>0</v>
      </c>
      <c r="BD101" s="33" t="s">
        <v>19</v>
      </c>
      <c r="BE101" s="4"/>
    </row>
    <row r="102" spans="1:57" s="9" customFormat="1" ht="11.25" hidden="1">
      <c r="A102" s="26"/>
      <c r="B102" s="9" t="str">
        <f>"GOLYÓSTOLL (ZEBRA RUBBER 101)"</f>
        <v>GOLYÓSTOLL (ZEBRA RUBBER 101)</v>
      </c>
      <c r="D102" s="20" t="s">
        <v>19</v>
      </c>
      <c r="E102" s="4"/>
      <c r="F102" s="1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0"/>
      <c r="AB102" s="4"/>
      <c r="AC102" s="4"/>
      <c r="AD102" s="4"/>
      <c r="AE102" s="4"/>
      <c r="AF102" s="4"/>
      <c r="AG102" s="4"/>
      <c r="AH102" s="4"/>
      <c r="AI102" s="4"/>
      <c r="AJ102" s="4"/>
      <c r="AK102" s="17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5">
        <f t="shared" si="4"/>
        <v>0</v>
      </c>
      <c r="BD102" s="33" t="s">
        <v>19</v>
      </c>
      <c r="BE102" s="4"/>
    </row>
    <row r="103" spans="1:57" s="9" customFormat="1" ht="11.25">
      <c r="A103" s="26" t="s">
        <v>171</v>
      </c>
      <c r="B103" s="9" t="s">
        <v>20</v>
      </c>
      <c r="C103" s="9" t="s">
        <v>120</v>
      </c>
      <c r="D103" s="20" t="s">
        <v>19</v>
      </c>
      <c r="E103" s="4">
        <v>2</v>
      </c>
      <c r="F103" s="1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0"/>
      <c r="AB103" s="4"/>
      <c r="AC103" s="4"/>
      <c r="AD103" s="4"/>
      <c r="AE103" s="4"/>
      <c r="AF103" s="4"/>
      <c r="AG103" s="4"/>
      <c r="AH103" s="4"/>
      <c r="AI103" s="4"/>
      <c r="AJ103" s="4"/>
      <c r="AK103" s="17"/>
      <c r="AL103" s="4"/>
      <c r="AM103" s="4"/>
      <c r="AN103" s="4"/>
      <c r="AO103" s="4"/>
      <c r="AP103" s="4"/>
      <c r="AQ103" s="4"/>
      <c r="AR103" s="4"/>
      <c r="AS103" s="4"/>
      <c r="AT103" s="4"/>
      <c r="AU103" s="4">
        <v>1</v>
      </c>
      <c r="AV103" s="4"/>
      <c r="AW103" s="4"/>
      <c r="AX103" s="4"/>
      <c r="AY103" s="4"/>
      <c r="AZ103" s="4"/>
      <c r="BA103" s="4"/>
      <c r="BB103" s="4"/>
      <c r="BC103" s="5">
        <f t="shared" si="4"/>
        <v>3</v>
      </c>
      <c r="BD103" s="33" t="s">
        <v>19</v>
      </c>
      <c r="BE103" s="4"/>
    </row>
    <row r="104" spans="1:57" s="8" customFormat="1" ht="11.25">
      <c r="A104" s="26" t="s">
        <v>172</v>
      </c>
      <c r="B104" s="9" t="s">
        <v>74</v>
      </c>
      <c r="C104" s="9" t="s">
        <v>26</v>
      </c>
      <c r="D104" s="20" t="s">
        <v>18</v>
      </c>
      <c r="E104" s="4">
        <v>2</v>
      </c>
      <c r="F104" s="1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0"/>
      <c r="AB104" s="4"/>
      <c r="AC104" s="4"/>
      <c r="AD104" s="4"/>
      <c r="AE104" s="4"/>
      <c r="AF104" s="4"/>
      <c r="AG104" s="4"/>
      <c r="AH104" s="4"/>
      <c r="AI104" s="4"/>
      <c r="AJ104" s="4"/>
      <c r="AK104" s="17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5">
        <f t="shared" si="4"/>
        <v>2</v>
      </c>
      <c r="BD104" s="33" t="s">
        <v>18</v>
      </c>
      <c r="BE104" s="5"/>
    </row>
    <row r="105" spans="1:57" s="9" customFormat="1" ht="11.25" hidden="1">
      <c r="A105" s="26"/>
      <c r="B105" s="9" t="str">
        <f aca="true" t="shared" si="5" ref="B105:B110">"GOLYÓSTOLL BETÉT"</f>
        <v>GOLYÓSTOLL BETÉT</v>
      </c>
      <c r="C105" s="9" t="str">
        <f>"4 SZÍNŰ (MINI)"</f>
        <v>4 SZÍNŰ (MINI)</v>
      </c>
      <c r="D105" s="20" t="s">
        <v>18</v>
      </c>
      <c r="E105" s="4"/>
      <c r="F105" s="1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0"/>
      <c r="AB105" s="4"/>
      <c r="AC105" s="4"/>
      <c r="AD105" s="4"/>
      <c r="AE105" s="4"/>
      <c r="AF105" s="4"/>
      <c r="AG105" s="4"/>
      <c r="AH105" s="4"/>
      <c r="AI105" s="4"/>
      <c r="AJ105" s="4"/>
      <c r="AK105" s="17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5">
        <f t="shared" si="4"/>
        <v>0</v>
      </c>
      <c r="BD105" s="33" t="s">
        <v>18</v>
      </c>
      <c r="BE105" s="4"/>
    </row>
    <row r="106" spans="1:57" s="9" customFormat="1" ht="11.25" hidden="1">
      <c r="A106" s="26"/>
      <c r="B106" s="9" t="str">
        <f t="shared" si="5"/>
        <v>GOLYÓSTOLL BETÉT</v>
      </c>
      <c r="C106" s="9" t="str">
        <f>"HANDY"</f>
        <v>HANDY</v>
      </c>
      <c r="D106" s="20" t="s">
        <v>18</v>
      </c>
      <c r="E106" s="4"/>
      <c r="F106" s="1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0"/>
      <c r="AB106" s="4"/>
      <c r="AC106" s="4"/>
      <c r="AD106" s="4"/>
      <c r="AE106" s="4"/>
      <c r="AF106" s="4"/>
      <c r="AG106" s="4"/>
      <c r="AH106" s="4"/>
      <c r="AI106" s="4"/>
      <c r="AJ106" s="4"/>
      <c r="AK106" s="17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5">
        <f t="shared" si="4"/>
        <v>0</v>
      </c>
      <c r="BD106" s="33" t="s">
        <v>18</v>
      </c>
      <c r="BE106" s="4"/>
    </row>
    <row r="107" spans="1:57" s="9" customFormat="1" ht="11.25" hidden="1">
      <c r="A107" s="26"/>
      <c r="B107" s="9" t="str">
        <f t="shared" si="5"/>
        <v>GOLYÓSTOLL BETÉT</v>
      </c>
      <c r="C107" s="9" t="str">
        <f>"PARKER"</f>
        <v>PARKER</v>
      </c>
      <c r="D107" s="20" t="s">
        <v>18</v>
      </c>
      <c r="E107" s="4"/>
      <c r="F107" s="1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0"/>
      <c r="AB107" s="4"/>
      <c r="AC107" s="4"/>
      <c r="AD107" s="4"/>
      <c r="AE107" s="4"/>
      <c r="AF107" s="4"/>
      <c r="AG107" s="4"/>
      <c r="AH107" s="4"/>
      <c r="AI107" s="4"/>
      <c r="AJ107" s="4"/>
      <c r="AK107" s="17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5">
        <f t="shared" si="4"/>
        <v>0</v>
      </c>
      <c r="BD107" s="33" t="s">
        <v>18</v>
      </c>
      <c r="BE107" s="4"/>
    </row>
    <row r="108" spans="1:57" s="9" customFormat="1" ht="11.25" hidden="1">
      <c r="A108" s="26"/>
      <c r="B108" s="9" t="str">
        <f t="shared" si="5"/>
        <v>GOLYÓSTOLL BETÉT</v>
      </c>
      <c r="C108" s="9" t="str">
        <f>"PAX"</f>
        <v>PAX</v>
      </c>
      <c r="D108" s="20" t="s">
        <v>18</v>
      </c>
      <c r="E108" s="4"/>
      <c r="F108" s="1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0"/>
      <c r="AB108" s="4"/>
      <c r="AC108" s="4"/>
      <c r="AD108" s="4"/>
      <c r="AE108" s="4"/>
      <c r="AF108" s="4"/>
      <c r="AG108" s="4"/>
      <c r="AH108" s="4"/>
      <c r="AI108" s="4"/>
      <c r="AJ108" s="4"/>
      <c r="AK108" s="17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5">
        <f t="shared" si="4"/>
        <v>0</v>
      </c>
      <c r="BD108" s="33" t="s">
        <v>18</v>
      </c>
      <c r="BE108" s="4"/>
    </row>
    <row r="109" spans="1:57" s="9" customFormat="1" ht="11.25" hidden="1">
      <c r="A109" s="26"/>
      <c r="B109" s="9" t="str">
        <f t="shared" si="5"/>
        <v>GOLYÓSTOLL BETÉT</v>
      </c>
      <c r="C109" s="9" t="str">
        <f>"PENAC (RB 98C 07)"</f>
        <v>PENAC (RB 98C 07)</v>
      </c>
      <c r="D109" s="20" t="s">
        <v>18</v>
      </c>
      <c r="E109" s="4"/>
      <c r="F109" s="1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0"/>
      <c r="AB109" s="4"/>
      <c r="AC109" s="4"/>
      <c r="AD109" s="4"/>
      <c r="AE109" s="4"/>
      <c r="AF109" s="4"/>
      <c r="AG109" s="4"/>
      <c r="AH109" s="4"/>
      <c r="AI109" s="4"/>
      <c r="AJ109" s="4"/>
      <c r="AK109" s="17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5">
        <f t="shared" si="4"/>
        <v>0</v>
      </c>
      <c r="BD109" s="33" t="s">
        <v>18</v>
      </c>
      <c r="BE109" s="4"/>
    </row>
    <row r="110" spans="1:57" s="9" customFormat="1" ht="11.25" hidden="1">
      <c r="A110" s="26"/>
      <c r="B110" s="9" t="str">
        <f t="shared" si="5"/>
        <v>GOLYÓSTOLL BETÉT</v>
      </c>
      <c r="C110" s="9" t="str">
        <f>"PILOT"</f>
        <v>PILOT</v>
      </c>
      <c r="D110" s="20" t="s">
        <v>18</v>
      </c>
      <c r="E110" s="4"/>
      <c r="F110" s="1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0"/>
      <c r="AB110" s="4"/>
      <c r="AC110" s="4"/>
      <c r="AD110" s="4"/>
      <c r="AE110" s="4"/>
      <c r="AF110" s="4"/>
      <c r="AG110" s="4"/>
      <c r="AH110" s="4"/>
      <c r="AI110" s="4"/>
      <c r="AJ110" s="4"/>
      <c r="AK110" s="17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5">
        <f t="shared" si="4"/>
        <v>0</v>
      </c>
      <c r="BD110" s="33" t="s">
        <v>18</v>
      </c>
      <c r="BE110" s="4"/>
    </row>
    <row r="111" spans="1:57" s="8" customFormat="1" ht="11.25">
      <c r="A111" s="26" t="s">
        <v>173</v>
      </c>
      <c r="B111" s="9" t="s">
        <v>80</v>
      </c>
      <c r="C111" s="9" t="s">
        <v>26</v>
      </c>
      <c r="D111" s="20" t="s">
        <v>18</v>
      </c>
      <c r="E111" s="4"/>
      <c r="F111" s="1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0"/>
      <c r="AB111" s="4"/>
      <c r="AC111" s="4"/>
      <c r="AD111" s="4"/>
      <c r="AE111" s="4"/>
      <c r="AF111" s="4"/>
      <c r="AG111" s="4"/>
      <c r="AH111" s="4"/>
      <c r="AI111" s="4"/>
      <c r="AJ111" s="4"/>
      <c r="AK111" s="17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>
        <v>10</v>
      </c>
      <c r="BB111" s="4"/>
      <c r="BC111" s="5">
        <f t="shared" si="4"/>
        <v>10</v>
      </c>
      <c r="BD111" s="33" t="s">
        <v>18</v>
      </c>
      <c r="BE111" s="5"/>
    </row>
    <row r="112" spans="1:59" s="9" customFormat="1" ht="11.25" hidden="1">
      <c r="A112" s="26"/>
      <c r="B112" s="9" t="str">
        <f>"GOLYÓSTOLL BETÉT"</f>
        <v>GOLYÓSTOLL BETÉT</v>
      </c>
      <c r="C112" s="9" t="str">
        <f>"RÉZ"</f>
        <v>RÉZ</v>
      </c>
      <c r="D112" s="20" t="s">
        <v>18</v>
      </c>
      <c r="E112" s="4"/>
      <c r="F112" s="1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0"/>
      <c r="AB112" s="4"/>
      <c r="AC112" s="4"/>
      <c r="AD112" s="4"/>
      <c r="AE112" s="4"/>
      <c r="AF112" s="4"/>
      <c r="AG112" s="4"/>
      <c r="AH112" s="4"/>
      <c r="AI112" s="4"/>
      <c r="AJ112" s="4"/>
      <c r="AK112" s="17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5">
        <f t="shared" si="4"/>
        <v>0</v>
      </c>
      <c r="BD112" s="33" t="s">
        <v>18</v>
      </c>
      <c r="BE112" s="4"/>
      <c r="BG112" s="8"/>
    </row>
    <row r="113" spans="1:59" s="8" customFormat="1" ht="11.25" hidden="1">
      <c r="A113" s="26"/>
      <c r="B113" s="9" t="str">
        <f>"GOLYÓSTOLL BETÉT"</f>
        <v>GOLYÓSTOLL BETÉT</v>
      </c>
      <c r="C113" s="9" t="str">
        <f>"X-20"</f>
        <v>X-20</v>
      </c>
      <c r="D113" s="20" t="s">
        <v>18</v>
      </c>
      <c r="E113" s="5"/>
      <c r="F113" s="1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11"/>
      <c r="AB113" s="5"/>
      <c r="AC113" s="5"/>
      <c r="AD113" s="5"/>
      <c r="AE113" s="5"/>
      <c r="AF113" s="5"/>
      <c r="AG113" s="5"/>
      <c r="AH113" s="5"/>
      <c r="AI113" s="5"/>
      <c r="AJ113" s="5"/>
      <c r="AK113" s="17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>
        <f t="shared" si="4"/>
        <v>0</v>
      </c>
      <c r="BD113" s="33" t="s">
        <v>18</v>
      </c>
      <c r="BE113" s="5"/>
      <c r="BG113" s="9"/>
    </row>
    <row r="114" spans="1:57" s="9" customFormat="1" ht="11.25" hidden="1">
      <c r="A114" s="26"/>
      <c r="B114" s="9" t="str">
        <f>"GOLYÓSTOLL BETÉT (ZSELÉS)"</f>
        <v>GOLYÓSTOLL BETÉT (ZSELÉS)</v>
      </c>
      <c r="C114" s="9" t="str">
        <f>"PARKER"</f>
        <v>PARKER</v>
      </c>
      <c r="D114" s="20" t="s">
        <v>18</v>
      </c>
      <c r="E114" s="4"/>
      <c r="F114" s="1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0"/>
      <c r="AB114" s="4"/>
      <c r="AC114" s="4"/>
      <c r="AD114" s="4"/>
      <c r="AE114" s="4"/>
      <c r="AF114" s="4"/>
      <c r="AG114" s="4"/>
      <c r="AH114" s="4"/>
      <c r="AI114" s="4"/>
      <c r="AJ114" s="4"/>
      <c r="AK114" s="17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5">
        <f t="shared" si="4"/>
        <v>0</v>
      </c>
      <c r="BD114" s="33" t="s">
        <v>18</v>
      </c>
      <c r="BE114" s="4"/>
    </row>
    <row r="115" spans="1:57" s="9" customFormat="1" ht="11.25" hidden="1">
      <c r="A115" s="26"/>
      <c r="B115" s="9" t="str">
        <f>"GYORS MASNI"</f>
        <v>GYORS MASNI</v>
      </c>
      <c r="D115" s="20" t="s">
        <v>18</v>
      </c>
      <c r="E115" s="4"/>
      <c r="F115" s="1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0"/>
      <c r="AB115" s="4"/>
      <c r="AC115" s="4"/>
      <c r="AD115" s="4"/>
      <c r="AE115" s="4"/>
      <c r="AF115" s="4"/>
      <c r="AG115" s="4"/>
      <c r="AH115" s="4"/>
      <c r="AI115" s="4"/>
      <c r="AJ115" s="4"/>
      <c r="AK115" s="17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5">
        <f t="shared" si="4"/>
        <v>0</v>
      </c>
      <c r="BD115" s="33" t="s">
        <v>18</v>
      </c>
      <c r="BE115" s="4"/>
    </row>
    <row r="116" spans="1:57" s="9" customFormat="1" ht="11.25">
      <c r="A116" s="26" t="s">
        <v>174</v>
      </c>
      <c r="B116" s="9" t="s">
        <v>27</v>
      </c>
      <c r="C116" s="9" t="str">
        <f>"A/4"</f>
        <v>A/4</v>
      </c>
      <c r="D116" s="20" t="s">
        <v>18</v>
      </c>
      <c r="E116" s="5">
        <v>5</v>
      </c>
      <c r="F116" s="17">
        <v>2</v>
      </c>
      <c r="G116" s="5">
        <v>2</v>
      </c>
      <c r="H116" s="5"/>
      <c r="I116" s="5"/>
      <c r="J116" s="5"/>
      <c r="K116" s="5"/>
      <c r="L116" s="5">
        <v>5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11"/>
      <c r="AB116" s="5"/>
      <c r="AC116" s="5"/>
      <c r="AD116" s="5"/>
      <c r="AE116" s="5"/>
      <c r="AF116" s="5"/>
      <c r="AG116" s="5"/>
      <c r="AH116" s="5"/>
      <c r="AI116" s="5"/>
      <c r="AJ116" s="5"/>
      <c r="AK116" s="17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>
        <f t="shared" si="4"/>
        <v>14</v>
      </c>
      <c r="BD116" s="33" t="s">
        <v>18</v>
      </c>
      <c r="BE116" s="4"/>
    </row>
    <row r="117" spans="1:59" s="9" customFormat="1" ht="11.25" hidden="1">
      <c r="A117" s="28"/>
      <c r="B117" s="9" t="str">
        <f>"GYURMA"</f>
        <v>GYURMA</v>
      </c>
      <c r="D117" s="20" t="s">
        <v>18</v>
      </c>
      <c r="E117" s="4"/>
      <c r="F117" s="1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0"/>
      <c r="AB117" s="4"/>
      <c r="AC117" s="4"/>
      <c r="AD117" s="4"/>
      <c r="AE117" s="4"/>
      <c r="AF117" s="4"/>
      <c r="AG117" s="4"/>
      <c r="AH117" s="4"/>
      <c r="AI117" s="4"/>
      <c r="AJ117" s="4"/>
      <c r="AK117" s="17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5">
        <f t="shared" si="4"/>
        <v>0</v>
      </c>
      <c r="BD117" s="33" t="s">
        <v>18</v>
      </c>
      <c r="BE117" s="4"/>
      <c r="BG117" s="8"/>
    </row>
    <row r="118" spans="1:59" s="8" customFormat="1" ht="11.25" hidden="1">
      <c r="A118" s="28"/>
      <c r="B118" s="9" t="str">
        <f>"GYŰRŰSKÖNYV"</f>
        <v>GYŰRŰSKÖNYV</v>
      </c>
      <c r="C118" s="9" t="str">
        <f>"A/5"</f>
        <v>A/5</v>
      </c>
      <c r="D118" s="20" t="s">
        <v>18</v>
      </c>
      <c r="E118" s="5"/>
      <c r="F118" s="1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1"/>
      <c r="AB118" s="5"/>
      <c r="AC118" s="5"/>
      <c r="AD118" s="5"/>
      <c r="AE118" s="5"/>
      <c r="AF118" s="5"/>
      <c r="AG118" s="5"/>
      <c r="AH118" s="5"/>
      <c r="AI118" s="5"/>
      <c r="AJ118" s="5"/>
      <c r="AK118" s="17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>
        <f t="shared" si="4"/>
        <v>0</v>
      </c>
      <c r="BD118" s="33" t="s">
        <v>18</v>
      </c>
      <c r="BE118" s="5"/>
      <c r="BG118" s="9"/>
    </row>
    <row r="119" spans="1:57" s="9" customFormat="1" ht="11.25" hidden="1">
      <c r="A119" s="28"/>
      <c r="B119" s="9" t="str">
        <f>"HATÁRIDŐNAPLÓ A/5"</f>
        <v>HATÁRIDŐNAPLÓ A/5</v>
      </c>
      <c r="C119" s="9" t="str">
        <f>"3101"</f>
        <v>3101</v>
      </c>
      <c r="D119" s="20" t="s">
        <v>18</v>
      </c>
      <c r="E119" s="4"/>
      <c r="F119" s="1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0"/>
      <c r="AB119" s="4"/>
      <c r="AC119" s="4"/>
      <c r="AD119" s="4"/>
      <c r="AE119" s="4"/>
      <c r="AF119" s="4"/>
      <c r="AG119" s="4"/>
      <c r="AH119" s="4"/>
      <c r="AI119" s="4"/>
      <c r="AJ119" s="4"/>
      <c r="AK119" s="17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5">
        <f t="shared" si="4"/>
        <v>0</v>
      </c>
      <c r="BD119" s="33" t="s">
        <v>18</v>
      </c>
      <c r="BE119" s="4"/>
    </row>
    <row r="120" spans="1:57" s="9" customFormat="1" ht="11.25" hidden="1">
      <c r="A120" s="28"/>
      <c r="B120" s="9" t="str">
        <f>"HATÁROZATOK KÖNYVE"</f>
        <v>HATÁROZATOK KÖNYVE</v>
      </c>
      <c r="D120" s="20" t="s">
        <v>18</v>
      </c>
      <c r="E120" s="4"/>
      <c r="F120" s="1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0"/>
      <c r="AB120" s="4"/>
      <c r="AC120" s="4"/>
      <c r="AD120" s="4"/>
      <c r="AE120" s="4"/>
      <c r="AF120" s="4"/>
      <c r="AG120" s="4"/>
      <c r="AH120" s="4"/>
      <c r="AI120" s="4"/>
      <c r="AJ120" s="4"/>
      <c r="AK120" s="17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5">
        <f t="shared" si="4"/>
        <v>0</v>
      </c>
      <c r="BD120" s="33" t="s">
        <v>18</v>
      </c>
      <c r="BE120" s="4"/>
    </row>
    <row r="121" spans="1:57" s="9" customFormat="1" ht="11.25" hidden="1">
      <c r="A121" s="28"/>
      <c r="B121" s="9" t="str">
        <f>"HÁTLAP (BŐRHATÁSÚ)"</f>
        <v>HÁTLAP (BŐRHATÁSÚ)</v>
      </c>
      <c r="C121" s="9" t="s">
        <v>35</v>
      </c>
      <c r="D121" s="20" t="s">
        <v>18</v>
      </c>
      <c r="E121" s="4"/>
      <c r="F121" s="1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0"/>
      <c r="AB121" s="4"/>
      <c r="AC121" s="4"/>
      <c r="AD121" s="4"/>
      <c r="AE121" s="4"/>
      <c r="AF121" s="4"/>
      <c r="AG121" s="4"/>
      <c r="AH121" s="4"/>
      <c r="AI121" s="4"/>
      <c r="AJ121" s="4"/>
      <c r="AK121" s="17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5">
        <f t="shared" si="4"/>
        <v>0</v>
      </c>
      <c r="BD121" s="33" t="s">
        <v>18</v>
      </c>
      <c r="BE121" s="4"/>
    </row>
    <row r="122" spans="1:57" s="9" customFormat="1" ht="11.25" hidden="1">
      <c r="A122" s="26"/>
      <c r="B122" s="9" t="str">
        <f>"HIBAJAVÍTÓ FESTÉK (ECSETES)"</f>
        <v>HIBAJAVÍTÓ FESTÉK (ECSETES)</v>
      </c>
      <c r="C122" s="9" t="str">
        <f>"KORES"</f>
        <v>KORES</v>
      </c>
      <c r="D122" s="20" t="s">
        <v>18</v>
      </c>
      <c r="E122" s="4"/>
      <c r="F122" s="1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0"/>
      <c r="AB122" s="4"/>
      <c r="AC122" s="4"/>
      <c r="AD122" s="4"/>
      <c r="AE122" s="4"/>
      <c r="AF122" s="4"/>
      <c r="AG122" s="4"/>
      <c r="AH122" s="4"/>
      <c r="AI122" s="4"/>
      <c r="AJ122" s="4"/>
      <c r="AK122" s="17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5">
        <f t="shared" si="4"/>
        <v>0</v>
      </c>
      <c r="BD122" s="33" t="s">
        <v>18</v>
      </c>
      <c r="BE122" s="4"/>
    </row>
    <row r="123" spans="1:57" s="9" customFormat="1" ht="11.25" hidden="1">
      <c r="A123" s="26"/>
      <c r="B123" s="9" t="str">
        <f>"HIBAJAVÍTÓ FESTÉKHÍGÍTÓ"</f>
        <v>HIBAJAVÍTÓ FESTÉKHÍGÍTÓ</v>
      </c>
      <c r="D123" s="20" t="s">
        <v>18</v>
      </c>
      <c r="E123" s="4"/>
      <c r="F123" s="1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0"/>
      <c r="AB123" s="4"/>
      <c r="AC123" s="4"/>
      <c r="AD123" s="4"/>
      <c r="AE123" s="4"/>
      <c r="AF123" s="4"/>
      <c r="AG123" s="4"/>
      <c r="AH123" s="4"/>
      <c r="AI123" s="4"/>
      <c r="AJ123" s="4"/>
      <c r="AK123" s="17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5">
        <f t="shared" si="4"/>
        <v>0</v>
      </c>
      <c r="BD123" s="33" t="s">
        <v>18</v>
      </c>
      <c r="BE123" s="4"/>
    </row>
    <row r="124" spans="1:57" s="8" customFormat="1" ht="11.25">
      <c r="A124" s="26" t="s">
        <v>175</v>
      </c>
      <c r="B124" s="9" t="str">
        <f>"GÉMKAPOCS (NAGY)"</f>
        <v>GÉMKAPOCS (NAGY)</v>
      </c>
      <c r="C124" s="9" t="str">
        <f>"55MM"</f>
        <v>55MM</v>
      </c>
      <c r="D124" s="20" t="s">
        <v>24</v>
      </c>
      <c r="E124" s="5">
        <v>5</v>
      </c>
      <c r="F124" s="17"/>
      <c r="G124" s="5"/>
      <c r="H124" s="5">
        <v>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>
        <v>1</v>
      </c>
      <c r="V124" s="5"/>
      <c r="W124" s="5"/>
      <c r="X124" s="5"/>
      <c r="Y124" s="5"/>
      <c r="Z124" s="5"/>
      <c r="AA124" s="11"/>
      <c r="AB124" s="5"/>
      <c r="AC124" s="5"/>
      <c r="AD124" s="5"/>
      <c r="AE124" s="5"/>
      <c r="AF124" s="5"/>
      <c r="AG124" s="5"/>
      <c r="AH124" s="5"/>
      <c r="AI124" s="5"/>
      <c r="AJ124" s="5"/>
      <c r="AK124" s="17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>
        <f t="shared" si="4"/>
        <v>9</v>
      </c>
      <c r="BD124" s="33" t="s">
        <v>24</v>
      </c>
      <c r="BE124" s="5"/>
    </row>
    <row r="125" spans="1:57" s="8" customFormat="1" ht="11.25">
      <c r="A125" s="26" t="s">
        <v>176</v>
      </c>
      <c r="B125" s="9" t="str">
        <f>"GÉMKAPOCS (NORMÁL)"</f>
        <v>GÉMKAPOCS (NORMÁL)</v>
      </c>
      <c r="C125" s="9" t="str">
        <f>"33MM"</f>
        <v>33MM</v>
      </c>
      <c r="D125" s="20" t="s">
        <v>24</v>
      </c>
      <c r="E125" s="5"/>
      <c r="F125" s="17"/>
      <c r="G125" s="5">
        <v>2</v>
      </c>
      <c r="H125" s="5">
        <v>12</v>
      </c>
      <c r="I125" s="5">
        <v>1</v>
      </c>
      <c r="J125" s="5"/>
      <c r="K125" s="5"/>
      <c r="L125" s="5"/>
      <c r="M125" s="5"/>
      <c r="N125" s="5"/>
      <c r="O125" s="5">
        <v>15</v>
      </c>
      <c r="P125" s="5">
        <v>3</v>
      </c>
      <c r="Q125" s="5"/>
      <c r="R125" s="5"/>
      <c r="S125" s="5"/>
      <c r="T125" s="5"/>
      <c r="U125" s="5">
        <v>1</v>
      </c>
      <c r="V125" s="5"/>
      <c r="W125" s="5"/>
      <c r="X125" s="5"/>
      <c r="Y125" s="5"/>
      <c r="Z125" s="5"/>
      <c r="AA125" s="11"/>
      <c r="AB125" s="5"/>
      <c r="AC125" s="5"/>
      <c r="AD125" s="5"/>
      <c r="AE125" s="5"/>
      <c r="AF125" s="5"/>
      <c r="AG125" s="5"/>
      <c r="AH125" s="5"/>
      <c r="AI125" s="5"/>
      <c r="AJ125" s="5"/>
      <c r="AK125" s="17"/>
      <c r="AL125" s="5"/>
      <c r="AM125" s="5"/>
      <c r="AN125" s="5"/>
      <c r="AO125" s="5">
        <v>2</v>
      </c>
      <c r="AP125" s="5">
        <v>2</v>
      </c>
      <c r="AQ125" s="5">
        <v>2</v>
      </c>
      <c r="AR125" s="5">
        <v>2</v>
      </c>
      <c r="AS125" s="5"/>
      <c r="AT125" s="5"/>
      <c r="AU125" s="5"/>
      <c r="AV125" s="5">
        <v>5</v>
      </c>
      <c r="AW125" s="5"/>
      <c r="AX125" s="5"/>
      <c r="AY125" s="5"/>
      <c r="AZ125" s="5"/>
      <c r="BA125" s="5"/>
      <c r="BB125" s="5"/>
      <c r="BC125" s="5">
        <f t="shared" si="4"/>
        <v>47</v>
      </c>
      <c r="BD125" s="33" t="s">
        <v>24</v>
      </c>
      <c r="BE125" s="5"/>
    </row>
    <row r="126" spans="1:57" s="9" customFormat="1" ht="11.25" hidden="1">
      <c r="A126" s="26"/>
      <c r="B126" s="9" t="str">
        <f>"HIBAJAVÍTÓ TOLL (STRANGER)"</f>
        <v>HIBAJAVÍTÓ TOLL (STRANGER)</v>
      </c>
      <c r="D126" s="17"/>
      <c r="E126" s="4"/>
      <c r="F126" s="1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0"/>
      <c r="AB126" s="4"/>
      <c r="AC126" s="4"/>
      <c r="AD126" s="4"/>
      <c r="AE126" s="4"/>
      <c r="AF126" s="4"/>
      <c r="AG126" s="4"/>
      <c r="AH126" s="4"/>
      <c r="AI126" s="4"/>
      <c r="AJ126" s="4"/>
      <c r="AK126" s="17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5">
        <f t="shared" si="4"/>
        <v>0</v>
      </c>
      <c r="BD126" s="32"/>
      <c r="BE126" s="4"/>
    </row>
    <row r="127" spans="1:57" s="9" customFormat="1" ht="11.25" hidden="1">
      <c r="A127" s="26"/>
      <c r="B127" s="9" t="str">
        <f>"HULLADÉK ELHELYEZÉSI JEGY"</f>
        <v>HULLADÉK ELHELYEZÉSI JEGY</v>
      </c>
      <c r="C127" s="9" t="str">
        <f>"(TISZASZOLG)"</f>
        <v>(TISZASZOLG)</v>
      </c>
      <c r="D127" s="17"/>
      <c r="E127" s="4"/>
      <c r="F127" s="1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0"/>
      <c r="AB127" s="4"/>
      <c r="AC127" s="4"/>
      <c r="AD127" s="4"/>
      <c r="AE127" s="4"/>
      <c r="AF127" s="4"/>
      <c r="AG127" s="4"/>
      <c r="AH127" s="4"/>
      <c r="AI127" s="4"/>
      <c r="AJ127" s="4"/>
      <c r="AK127" s="17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5">
        <f t="shared" si="4"/>
        <v>0</v>
      </c>
      <c r="BD127" s="32"/>
      <c r="BE127" s="4"/>
    </row>
    <row r="128" spans="1:57" s="9" customFormat="1" ht="11.25" hidden="1">
      <c r="A128" s="26"/>
      <c r="B128" s="9" t="str">
        <f>"IKTATÓKÖNYV (SOROS)"</f>
        <v>IKTATÓKÖNYV (SOROS)</v>
      </c>
      <c r="C128" s="9" t="str">
        <f>"C 5230-152"</f>
        <v>C 5230-152</v>
      </c>
      <c r="D128" s="17"/>
      <c r="E128" s="4"/>
      <c r="F128" s="1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0"/>
      <c r="AB128" s="4"/>
      <c r="AC128" s="4"/>
      <c r="AD128" s="4"/>
      <c r="AE128" s="4"/>
      <c r="AF128" s="4"/>
      <c r="AG128" s="4"/>
      <c r="AH128" s="4"/>
      <c r="AI128" s="4"/>
      <c r="AJ128" s="4"/>
      <c r="AK128" s="17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5">
        <f t="shared" si="4"/>
        <v>0</v>
      </c>
      <c r="BD128" s="32"/>
      <c r="BE128" s="4"/>
    </row>
    <row r="129" spans="1:57" s="9" customFormat="1" ht="11.25">
      <c r="A129" s="26" t="s">
        <v>177</v>
      </c>
      <c r="B129" s="9" t="s">
        <v>105</v>
      </c>
      <c r="C129" s="9" t="s">
        <v>106</v>
      </c>
      <c r="D129" s="20" t="s">
        <v>18</v>
      </c>
      <c r="E129" s="4">
        <v>2</v>
      </c>
      <c r="F129" s="1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v>1</v>
      </c>
      <c r="V129" s="4"/>
      <c r="W129" s="4"/>
      <c r="X129" s="4"/>
      <c r="Y129" s="4"/>
      <c r="Z129" s="4"/>
      <c r="AA129" s="10"/>
      <c r="AB129" s="4"/>
      <c r="AC129" s="4"/>
      <c r="AD129" s="4"/>
      <c r="AE129" s="4"/>
      <c r="AF129" s="4"/>
      <c r="AG129" s="4"/>
      <c r="AH129" s="4"/>
      <c r="AI129" s="4"/>
      <c r="AJ129" s="4"/>
      <c r="AK129" s="17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5">
        <f t="shared" si="4"/>
        <v>3</v>
      </c>
      <c r="BD129" s="33" t="s">
        <v>18</v>
      </c>
      <c r="BE129" s="4"/>
    </row>
    <row r="130" spans="1:57" s="14" customFormat="1" ht="11.25">
      <c r="A130" s="26" t="s">
        <v>178</v>
      </c>
      <c r="B130" s="9" t="s">
        <v>64</v>
      </c>
      <c r="C130" s="9" t="s">
        <v>71</v>
      </c>
      <c r="D130" s="20" t="s">
        <v>18</v>
      </c>
      <c r="E130" s="22"/>
      <c r="F130" s="23"/>
      <c r="G130" s="22"/>
      <c r="H130" s="4"/>
      <c r="I130" s="22"/>
      <c r="J130" s="22"/>
      <c r="K130" s="22"/>
      <c r="L130" s="22"/>
      <c r="M130" s="22"/>
      <c r="N130" s="22"/>
      <c r="O130" s="4">
        <v>50</v>
      </c>
      <c r="P130" s="4"/>
      <c r="Q130" s="22"/>
      <c r="R130" s="22"/>
      <c r="S130" s="22"/>
      <c r="T130" s="4"/>
      <c r="U130" s="4"/>
      <c r="V130" s="22"/>
      <c r="W130" s="22"/>
      <c r="X130" s="22"/>
      <c r="Y130" s="22"/>
      <c r="Z130" s="22"/>
      <c r="AA130" s="24"/>
      <c r="AB130" s="22"/>
      <c r="AC130" s="22"/>
      <c r="AD130" s="22"/>
      <c r="AE130" s="22"/>
      <c r="AF130" s="22"/>
      <c r="AG130" s="22"/>
      <c r="AH130" s="22"/>
      <c r="AI130" s="22"/>
      <c r="AJ130" s="22"/>
      <c r="AK130" s="23"/>
      <c r="AL130" s="22"/>
      <c r="AM130" s="22"/>
      <c r="AN130" s="22"/>
      <c r="AO130" s="22"/>
      <c r="AP130" s="4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5">
        <f t="shared" si="4"/>
        <v>50</v>
      </c>
      <c r="BD130" s="33" t="s">
        <v>18</v>
      </c>
      <c r="BE130" s="22"/>
    </row>
    <row r="131" spans="1:59" s="8" customFormat="1" ht="11.25">
      <c r="A131" s="26" t="s">
        <v>179</v>
      </c>
      <c r="B131" s="9" t="s">
        <v>64</v>
      </c>
      <c r="C131" s="9" t="s">
        <v>83</v>
      </c>
      <c r="D131" s="20" t="s">
        <v>18</v>
      </c>
      <c r="E131" s="1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11"/>
      <c r="AB131" s="5"/>
      <c r="AC131" s="5"/>
      <c r="AD131" s="5"/>
      <c r="AE131" s="5"/>
      <c r="AF131" s="5"/>
      <c r="AG131" s="5"/>
      <c r="AH131" s="5"/>
      <c r="AI131" s="5"/>
      <c r="AJ131" s="5"/>
      <c r="AK131" s="17"/>
      <c r="AL131" s="5"/>
      <c r="AM131" s="5"/>
      <c r="AN131" s="5"/>
      <c r="AO131" s="5"/>
      <c r="AP131" s="5"/>
      <c r="AQ131" s="5"/>
      <c r="AR131" s="5"/>
      <c r="AS131" s="5"/>
      <c r="AT131" s="5"/>
      <c r="AU131" s="5">
        <v>200</v>
      </c>
      <c r="AV131" s="5"/>
      <c r="AW131" s="5"/>
      <c r="AX131" s="5"/>
      <c r="AY131" s="5"/>
      <c r="AZ131" s="5"/>
      <c r="BA131" s="5"/>
      <c r="BB131" s="5"/>
      <c r="BC131" s="5">
        <f aca="true" t="shared" si="6" ref="BC131:BC182">SUM(E131:BB131)</f>
        <v>200</v>
      </c>
      <c r="BD131" s="33" t="s">
        <v>18</v>
      </c>
      <c r="BE131" s="5"/>
      <c r="BG131" s="9"/>
    </row>
    <row r="132" spans="1:57" s="8" customFormat="1" ht="11.25">
      <c r="A132" s="26" t="s">
        <v>180</v>
      </c>
      <c r="B132" s="9" t="s">
        <v>70</v>
      </c>
      <c r="C132" s="9" t="s">
        <v>143</v>
      </c>
      <c r="D132" s="20" t="s">
        <v>18</v>
      </c>
      <c r="E132" s="5"/>
      <c r="F132" s="17"/>
      <c r="G132" s="5">
        <v>100</v>
      </c>
      <c r="H132" s="5">
        <v>200</v>
      </c>
      <c r="I132" s="5">
        <v>50</v>
      </c>
      <c r="J132" s="5">
        <v>50</v>
      </c>
      <c r="K132" s="5"/>
      <c r="L132" s="5">
        <v>500</v>
      </c>
      <c r="M132" s="5"/>
      <c r="N132" s="5"/>
      <c r="O132" s="5">
        <v>100</v>
      </c>
      <c r="P132" s="5"/>
      <c r="Q132" s="5"/>
      <c r="R132" s="5">
        <v>100</v>
      </c>
      <c r="S132" s="5"/>
      <c r="T132" s="5"/>
      <c r="U132" s="5">
        <v>100</v>
      </c>
      <c r="V132" s="5">
        <v>100</v>
      </c>
      <c r="W132" s="5">
        <v>100</v>
      </c>
      <c r="X132" s="5"/>
      <c r="Y132" s="5"/>
      <c r="Z132" s="5">
        <v>50</v>
      </c>
      <c r="AA132" s="11"/>
      <c r="AB132" s="5"/>
      <c r="AC132" s="5"/>
      <c r="AD132" s="5"/>
      <c r="AE132" s="5"/>
      <c r="AF132" s="5"/>
      <c r="AG132" s="5"/>
      <c r="AH132" s="5"/>
      <c r="AI132" s="5"/>
      <c r="AJ132" s="5"/>
      <c r="AK132" s="17"/>
      <c r="AL132" s="5"/>
      <c r="AM132" s="5"/>
      <c r="AN132" s="5"/>
      <c r="AO132" s="5">
        <v>100</v>
      </c>
      <c r="AP132" s="5">
        <v>100</v>
      </c>
      <c r="AQ132" s="5">
        <v>100</v>
      </c>
      <c r="AR132" s="5">
        <v>100</v>
      </c>
      <c r="AS132" s="5"/>
      <c r="AT132" s="5"/>
      <c r="AU132" s="5">
        <v>300</v>
      </c>
      <c r="AV132" s="5">
        <v>200</v>
      </c>
      <c r="AW132" s="5"/>
      <c r="AX132" s="5"/>
      <c r="AY132" s="5"/>
      <c r="AZ132" s="5">
        <v>50</v>
      </c>
      <c r="BA132" s="5">
        <v>100</v>
      </c>
      <c r="BB132" s="5">
        <v>400</v>
      </c>
      <c r="BC132" s="5">
        <f t="shared" si="6"/>
        <v>2900</v>
      </c>
      <c r="BD132" s="33" t="s">
        <v>18</v>
      </c>
      <c r="BE132" s="5"/>
    </row>
    <row r="133" spans="1:59" s="9" customFormat="1" ht="11.25">
      <c r="A133" s="26" t="s">
        <v>181</v>
      </c>
      <c r="B133" s="9" t="s">
        <v>88</v>
      </c>
      <c r="C133" s="9" t="s">
        <v>89</v>
      </c>
      <c r="D133" s="20" t="s">
        <v>18</v>
      </c>
      <c r="E133" s="4"/>
      <c r="F133" s="17">
        <v>1</v>
      </c>
      <c r="G133" s="4"/>
      <c r="H133" s="4">
        <v>2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0"/>
      <c r="AB133" s="4"/>
      <c r="AC133" s="4"/>
      <c r="AD133" s="4"/>
      <c r="AE133" s="4"/>
      <c r="AF133" s="4"/>
      <c r="AG133" s="4"/>
      <c r="AH133" s="4"/>
      <c r="AI133" s="4"/>
      <c r="AJ133" s="4"/>
      <c r="AK133" s="17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5">
        <f t="shared" si="6"/>
        <v>3</v>
      </c>
      <c r="BD133" s="33" t="s">
        <v>18</v>
      </c>
      <c r="BE133" s="4"/>
      <c r="BG133" s="8"/>
    </row>
    <row r="134" spans="1:57" s="9" customFormat="1" ht="11.25">
      <c r="A134" s="26" t="s">
        <v>182</v>
      </c>
      <c r="B134" s="9" t="str">
        <f>"GOLYÓSTOLL (PENAC RB-085 B.)"</f>
        <v>GOLYÓSTOLL (PENAC RB-085 B.)</v>
      </c>
      <c r="C134" s="9" t="s">
        <v>29</v>
      </c>
      <c r="D134" s="20" t="s">
        <v>18</v>
      </c>
      <c r="E134" s="4"/>
      <c r="F134" s="17">
        <v>2</v>
      </c>
      <c r="G134" s="4"/>
      <c r="H134" s="4"/>
      <c r="I134" s="4"/>
      <c r="J134" s="4"/>
      <c r="K134" s="4"/>
      <c r="L134" s="4">
        <v>10</v>
      </c>
      <c r="M134" s="4"/>
      <c r="N134" s="4"/>
      <c r="O134" s="4"/>
      <c r="P134" s="4"/>
      <c r="Q134" s="4"/>
      <c r="R134" s="4"/>
      <c r="S134" s="4"/>
      <c r="T134" s="4"/>
      <c r="U134" s="4">
        <v>1</v>
      </c>
      <c r="V134" s="4"/>
      <c r="W134" s="4"/>
      <c r="X134" s="4">
        <v>2</v>
      </c>
      <c r="Y134" s="4">
        <v>3</v>
      </c>
      <c r="Z134" s="4"/>
      <c r="AA134" s="10"/>
      <c r="AB134" s="4"/>
      <c r="AC134" s="4"/>
      <c r="AD134" s="4"/>
      <c r="AE134" s="4"/>
      <c r="AF134" s="4"/>
      <c r="AG134" s="4"/>
      <c r="AH134" s="4"/>
      <c r="AI134" s="4"/>
      <c r="AJ134" s="4"/>
      <c r="AK134" s="17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5">
        <f t="shared" si="6"/>
        <v>18</v>
      </c>
      <c r="BD134" s="33" t="s">
        <v>18</v>
      </c>
      <c r="BE134" s="4"/>
    </row>
    <row r="135" spans="1:57" s="9" customFormat="1" ht="11.25">
      <c r="A135" s="26" t="s">
        <v>183</v>
      </c>
      <c r="B135" s="9" t="s">
        <v>52</v>
      </c>
      <c r="C135" s="9" t="s">
        <v>94</v>
      </c>
      <c r="D135" s="20" t="s">
        <v>18</v>
      </c>
      <c r="E135" s="4">
        <v>20</v>
      </c>
      <c r="F135" s="1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>
        <v>1</v>
      </c>
      <c r="V135" s="4"/>
      <c r="W135" s="4"/>
      <c r="X135" s="4"/>
      <c r="Y135" s="4"/>
      <c r="Z135" s="4"/>
      <c r="AA135" s="10"/>
      <c r="AB135" s="4"/>
      <c r="AC135" s="4"/>
      <c r="AD135" s="4"/>
      <c r="AE135" s="4"/>
      <c r="AF135" s="4"/>
      <c r="AG135" s="4"/>
      <c r="AH135" s="4"/>
      <c r="AI135" s="4"/>
      <c r="AJ135" s="4"/>
      <c r="AK135" s="17"/>
      <c r="AL135" s="4"/>
      <c r="AM135" s="4"/>
      <c r="AN135" s="4"/>
      <c r="AO135" s="4">
        <v>1</v>
      </c>
      <c r="AP135" s="4">
        <v>1</v>
      </c>
      <c r="AQ135" s="4">
        <v>1</v>
      </c>
      <c r="AR135" s="4">
        <v>1</v>
      </c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5">
        <f t="shared" si="6"/>
        <v>25</v>
      </c>
      <c r="BD135" s="33" t="s">
        <v>18</v>
      </c>
      <c r="BE135" s="4"/>
    </row>
    <row r="136" spans="1:57" s="9" customFormat="1" ht="11.25">
      <c r="A136" s="26" t="s">
        <v>184</v>
      </c>
      <c r="B136" s="9" t="s">
        <v>52</v>
      </c>
      <c r="C136" s="9" t="s">
        <v>47</v>
      </c>
      <c r="D136" s="20" t="s">
        <v>18</v>
      </c>
      <c r="E136" s="4"/>
      <c r="F136" s="17">
        <v>2</v>
      </c>
      <c r="G136" s="4"/>
      <c r="H136" s="4">
        <v>100</v>
      </c>
      <c r="I136" s="4"/>
      <c r="J136" s="4"/>
      <c r="K136" s="4"/>
      <c r="L136" s="4">
        <v>20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0"/>
      <c r="AB136" s="4"/>
      <c r="AC136" s="4"/>
      <c r="AD136" s="4"/>
      <c r="AE136" s="4"/>
      <c r="AF136" s="4"/>
      <c r="AG136" s="4"/>
      <c r="AH136" s="4"/>
      <c r="AI136" s="4"/>
      <c r="AJ136" s="4"/>
      <c r="AK136" s="17"/>
      <c r="AL136" s="4"/>
      <c r="AM136" s="4"/>
      <c r="AN136" s="4"/>
      <c r="AO136" s="4">
        <v>5</v>
      </c>
      <c r="AP136" s="4">
        <v>5</v>
      </c>
      <c r="AQ136" s="4">
        <v>5</v>
      </c>
      <c r="AR136" s="4">
        <v>5</v>
      </c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5">
        <f t="shared" si="6"/>
        <v>142</v>
      </c>
      <c r="BD136" s="33" t="s">
        <v>18</v>
      </c>
      <c r="BE136" s="4"/>
    </row>
    <row r="137" spans="1:57" s="9" customFormat="1" ht="11.25">
      <c r="A137" s="26" t="s">
        <v>185</v>
      </c>
      <c r="B137" s="9" t="s">
        <v>52</v>
      </c>
      <c r="C137" s="9" t="s">
        <v>48</v>
      </c>
      <c r="D137" s="20" t="s">
        <v>18</v>
      </c>
      <c r="E137" s="4"/>
      <c r="F137" s="1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0"/>
      <c r="AB137" s="4"/>
      <c r="AC137" s="4"/>
      <c r="AD137" s="4"/>
      <c r="AE137" s="4"/>
      <c r="AF137" s="4"/>
      <c r="AG137" s="4"/>
      <c r="AH137" s="4"/>
      <c r="AI137" s="4"/>
      <c r="AJ137" s="4"/>
      <c r="AK137" s="17"/>
      <c r="AL137" s="4"/>
      <c r="AM137" s="4"/>
      <c r="AN137" s="4"/>
      <c r="AO137" s="4">
        <v>1</v>
      </c>
      <c r="AP137" s="4">
        <v>1</v>
      </c>
      <c r="AQ137" s="4">
        <v>1</v>
      </c>
      <c r="AR137" s="4">
        <v>1</v>
      </c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5">
        <f t="shared" si="6"/>
        <v>4</v>
      </c>
      <c r="BD137" s="33" t="s">
        <v>18</v>
      </c>
      <c r="BE137" s="4"/>
    </row>
    <row r="138" spans="1:57" s="9" customFormat="1" ht="11.25">
      <c r="A138" s="26" t="s">
        <v>186</v>
      </c>
      <c r="B138" s="9" t="s">
        <v>52</v>
      </c>
      <c r="C138" s="9" t="s">
        <v>73</v>
      </c>
      <c r="D138" s="20" t="s">
        <v>18</v>
      </c>
      <c r="E138" s="4"/>
      <c r="F138" s="1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>
        <v>1</v>
      </c>
      <c r="V138" s="4"/>
      <c r="W138" s="4"/>
      <c r="X138" s="4"/>
      <c r="Y138" s="4"/>
      <c r="Z138" s="4"/>
      <c r="AA138" s="10"/>
      <c r="AB138" s="4"/>
      <c r="AC138" s="4"/>
      <c r="AD138" s="4"/>
      <c r="AE138" s="4"/>
      <c r="AF138" s="4"/>
      <c r="AG138" s="4"/>
      <c r="AH138" s="4"/>
      <c r="AI138" s="4"/>
      <c r="AJ138" s="4"/>
      <c r="AK138" s="17"/>
      <c r="AL138" s="4"/>
      <c r="AM138" s="4"/>
      <c r="AN138" s="4"/>
      <c r="AO138" s="4">
        <v>1</v>
      </c>
      <c r="AP138" s="4">
        <v>1</v>
      </c>
      <c r="AQ138" s="4">
        <v>1</v>
      </c>
      <c r="AR138" s="4">
        <v>1</v>
      </c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5">
        <f t="shared" si="6"/>
        <v>5</v>
      </c>
      <c r="BD138" s="33" t="s">
        <v>18</v>
      </c>
      <c r="BE138" s="4"/>
    </row>
    <row r="139" spans="1:57" s="9" customFormat="1" ht="11.25">
      <c r="A139" s="26" t="s">
        <v>187</v>
      </c>
      <c r="B139" s="9" t="s">
        <v>66</v>
      </c>
      <c r="C139" s="9" t="s">
        <v>47</v>
      </c>
      <c r="D139" s="20" t="s">
        <v>18</v>
      </c>
      <c r="E139" s="4">
        <v>10</v>
      </c>
      <c r="F139" s="17">
        <v>2</v>
      </c>
      <c r="G139" s="4">
        <v>20</v>
      </c>
      <c r="H139" s="4">
        <v>100</v>
      </c>
      <c r="I139" s="4"/>
      <c r="J139" s="4"/>
      <c r="K139" s="4"/>
      <c r="L139" s="4"/>
      <c r="M139" s="4"/>
      <c r="N139" s="4"/>
      <c r="O139" s="4">
        <v>10</v>
      </c>
      <c r="P139" s="4"/>
      <c r="Q139" s="4"/>
      <c r="R139" s="4"/>
      <c r="S139" s="4"/>
      <c r="T139" s="4"/>
      <c r="U139" s="4">
        <v>2</v>
      </c>
      <c r="V139" s="4"/>
      <c r="W139" s="4">
        <v>2</v>
      </c>
      <c r="X139" s="4"/>
      <c r="Y139" s="4"/>
      <c r="Z139" s="4"/>
      <c r="AA139" s="10"/>
      <c r="AB139" s="4"/>
      <c r="AC139" s="4"/>
      <c r="AD139" s="4"/>
      <c r="AE139" s="4"/>
      <c r="AF139" s="4"/>
      <c r="AG139" s="4"/>
      <c r="AH139" s="4"/>
      <c r="AI139" s="4"/>
      <c r="AJ139" s="4"/>
      <c r="AK139" s="17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>
        <v>12</v>
      </c>
      <c r="BC139" s="5">
        <f t="shared" si="6"/>
        <v>158</v>
      </c>
      <c r="BD139" s="33" t="s">
        <v>18</v>
      </c>
      <c r="BE139" s="4"/>
    </row>
    <row r="140" spans="1:57" s="9" customFormat="1" ht="11.25">
      <c r="A140" s="26" t="s">
        <v>188</v>
      </c>
      <c r="B140" s="9" t="s">
        <v>66</v>
      </c>
      <c r="C140" s="9" t="s">
        <v>48</v>
      </c>
      <c r="D140" s="20" t="s">
        <v>18</v>
      </c>
      <c r="E140" s="4"/>
      <c r="F140" s="17"/>
      <c r="G140" s="4"/>
      <c r="H140" s="4"/>
      <c r="I140" s="4"/>
      <c r="J140" s="4"/>
      <c r="K140" s="4"/>
      <c r="L140" s="4"/>
      <c r="M140" s="4"/>
      <c r="N140" s="4"/>
      <c r="O140" s="4">
        <v>2</v>
      </c>
      <c r="P140" s="4"/>
      <c r="Q140" s="4"/>
      <c r="R140" s="4"/>
      <c r="S140" s="4"/>
      <c r="T140" s="4"/>
      <c r="U140" s="4">
        <v>2</v>
      </c>
      <c r="V140" s="4"/>
      <c r="W140" s="4"/>
      <c r="X140" s="4"/>
      <c r="Y140" s="4"/>
      <c r="Z140" s="4"/>
      <c r="AA140" s="10"/>
      <c r="AB140" s="4"/>
      <c r="AC140" s="4"/>
      <c r="AD140" s="4"/>
      <c r="AE140" s="4"/>
      <c r="AF140" s="4"/>
      <c r="AG140" s="4"/>
      <c r="AH140" s="4"/>
      <c r="AI140" s="4"/>
      <c r="AJ140" s="4"/>
      <c r="AK140" s="17"/>
      <c r="AL140" s="4"/>
      <c r="AM140" s="4"/>
      <c r="AN140" s="4"/>
      <c r="AO140" s="4"/>
      <c r="AP140" s="4"/>
      <c r="AQ140" s="4"/>
      <c r="AR140" s="4"/>
      <c r="AS140" s="4"/>
      <c r="AT140" s="4"/>
      <c r="AU140" s="4">
        <v>2</v>
      </c>
      <c r="AV140" s="4"/>
      <c r="AW140" s="4"/>
      <c r="AX140" s="4"/>
      <c r="AY140" s="4"/>
      <c r="AZ140" s="4"/>
      <c r="BA140" s="4"/>
      <c r="BB140" s="4"/>
      <c r="BC140" s="5">
        <f t="shared" si="6"/>
        <v>6</v>
      </c>
      <c r="BD140" s="33" t="s">
        <v>18</v>
      </c>
      <c r="BE140" s="4"/>
    </row>
    <row r="141" spans="1:57" s="9" customFormat="1" ht="11.25">
      <c r="A141" s="26" t="s">
        <v>189</v>
      </c>
      <c r="B141" s="9" t="str">
        <f>"GOLYÓSTOLL (ZEBRA F-301)"</f>
        <v>GOLYÓSTOLL (ZEBRA F-301)</v>
      </c>
      <c r="C141" s="9" t="s">
        <v>47</v>
      </c>
      <c r="D141" s="20" t="s">
        <v>18</v>
      </c>
      <c r="E141" s="4">
        <v>5</v>
      </c>
      <c r="F141" s="17">
        <v>2</v>
      </c>
      <c r="G141" s="4">
        <v>10</v>
      </c>
      <c r="H141" s="4">
        <v>20</v>
      </c>
      <c r="I141" s="4"/>
      <c r="J141" s="4"/>
      <c r="K141" s="4"/>
      <c r="L141" s="4"/>
      <c r="M141" s="4"/>
      <c r="N141" s="4"/>
      <c r="O141" s="4">
        <v>10</v>
      </c>
      <c r="P141" s="4">
        <v>2</v>
      </c>
      <c r="Q141" s="4"/>
      <c r="R141" s="4"/>
      <c r="S141" s="4"/>
      <c r="T141" s="4"/>
      <c r="U141" s="4"/>
      <c r="V141" s="4">
        <v>2</v>
      </c>
      <c r="W141" s="4"/>
      <c r="X141" s="4"/>
      <c r="Y141" s="4"/>
      <c r="Z141" s="4">
        <v>1</v>
      </c>
      <c r="AA141" s="10"/>
      <c r="AB141" s="4"/>
      <c r="AC141" s="4"/>
      <c r="AD141" s="4"/>
      <c r="AE141" s="4"/>
      <c r="AF141" s="4"/>
      <c r="AG141" s="4"/>
      <c r="AH141" s="4"/>
      <c r="AI141" s="4"/>
      <c r="AJ141" s="4"/>
      <c r="AK141" s="17"/>
      <c r="AL141" s="4"/>
      <c r="AM141" s="4"/>
      <c r="AN141" s="4"/>
      <c r="AO141" s="4">
        <v>1</v>
      </c>
      <c r="AP141" s="4">
        <v>1</v>
      </c>
      <c r="AQ141" s="4">
        <v>1</v>
      </c>
      <c r="AR141" s="4">
        <v>1</v>
      </c>
      <c r="AS141" s="4"/>
      <c r="AT141" s="4"/>
      <c r="AU141" s="4">
        <v>2</v>
      </c>
      <c r="AV141" s="4">
        <v>2</v>
      </c>
      <c r="AW141" s="4">
        <v>2</v>
      </c>
      <c r="AX141" s="4"/>
      <c r="AY141" s="4"/>
      <c r="AZ141" s="4"/>
      <c r="BA141" s="4">
        <v>2</v>
      </c>
      <c r="BB141" s="4">
        <v>12</v>
      </c>
      <c r="BC141" s="5">
        <f t="shared" si="6"/>
        <v>76</v>
      </c>
      <c r="BD141" s="33" t="s">
        <v>18</v>
      </c>
      <c r="BE141" s="4"/>
    </row>
    <row r="142" spans="1:57" s="9" customFormat="1" ht="11.25">
      <c r="A142" s="26" t="s">
        <v>190</v>
      </c>
      <c r="B142" s="9" t="s">
        <v>79</v>
      </c>
      <c r="C142" s="9" t="s">
        <v>47</v>
      </c>
      <c r="D142" s="20" t="s">
        <v>18</v>
      </c>
      <c r="E142" s="4"/>
      <c r="F142" s="17"/>
      <c r="G142" s="4"/>
      <c r="H142" s="4"/>
      <c r="I142" s="4"/>
      <c r="J142" s="4"/>
      <c r="K142" s="4"/>
      <c r="L142" s="4">
        <v>20</v>
      </c>
      <c r="M142" s="4"/>
      <c r="N142" s="4"/>
      <c r="O142" s="4">
        <v>2</v>
      </c>
      <c r="P142" s="4"/>
      <c r="Q142" s="4"/>
      <c r="R142" s="4"/>
      <c r="S142" s="4"/>
      <c r="T142" s="4"/>
      <c r="U142" s="4"/>
      <c r="V142" s="4"/>
      <c r="W142" s="4"/>
      <c r="X142" s="4">
        <v>2</v>
      </c>
      <c r="Y142" s="4"/>
      <c r="Z142" s="4"/>
      <c r="AA142" s="10"/>
      <c r="AB142" s="4"/>
      <c r="AC142" s="4"/>
      <c r="AD142" s="4"/>
      <c r="AE142" s="4"/>
      <c r="AF142" s="4"/>
      <c r="AG142" s="4"/>
      <c r="AH142" s="4"/>
      <c r="AI142" s="4"/>
      <c r="AJ142" s="4"/>
      <c r="AK142" s="17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5">
        <f t="shared" si="6"/>
        <v>24</v>
      </c>
      <c r="BD142" s="33" t="s">
        <v>18</v>
      </c>
      <c r="BE142" s="4"/>
    </row>
    <row r="143" spans="1:57" s="9" customFormat="1" ht="11.25">
      <c r="A143" s="26" t="s">
        <v>191</v>
      </c>
      <c r="B143" s="9" t="s">
        <v>145</v>
      </c>
      <c r="C143" s="9" t="s">
        <v>146</v>
      </c>
      <c r="D143" s="20" t="s">
        <v>18</v>
      </c>
      <c r="E143" s="4"/>
      <c r="F143" s="17"/>
      <c r="G143" s="4"/>
      <c r="H143" s="4"/>
      <c r="I143" s="4"/>
      <c r="J143" s="4"/>
      <c r="K143" s="4"/>
      <c r="L143" s="4"/>
      <c r="M143" s="4"/>
      <c r="N143" s="4"/>
      <c r="O143" s="4">
        <v>5</v>
      </c>
      <c r="P143" s="4"/>
      <c r="Q143" s="4"/>
      <c r="R143" s="4"/>
      <c r="S143" s="4"/>
      <c r="T143" s="4"/>
      <c r="U143" s="4">
        <v>1</v>
      </c>
      <c r="V143" s="4"/>
      <c r="W143" s="4"/>
      <c r="X143" s="4"/>
      <c r="Y143" s="4"/>
      <c r="Z143" s="4"/>
      <c r="AA143" s="10"/>
      <c r="AB143" s="4"/>
      <c r="AC143" s="4"/>
      <c r="AD143" s="4"/>
      <c r="AE143" s="4"/>
      <c r="AF143" s="4"/>
      <c r="AG143" s="4"/>
      <c r="AH143" s="4"/>
      <c r="AI143" s="4"/>
      <c r="AJ143" s="4"/>
      <c r="AK143" s="17"/>
      <c r="AL143" s="4"/>
      <c r="AM143" s="4"/>
      <c r="AN143" s="4"/>
      <c r="AO143" s="4"/>
      <c r="AP143" s="4"/>
      <c r="AQ143" s="4"/>
      <c r="AR143" s="4"/>
      <c r="AS143" s="4">
        <v>1</v>
      </c>
      <c r="AT143" s="4">
        <v>1</v>
      </c>
      <c r="AU143" s="4"/>
      <c r="AV143" s="4"/>
      <c r="AW143" s="4"/>
      <c r="AX143" s="4"/>
      <c r="AY143" s="4"/>
      <c r="AZ143" s="4"/>
      <c r="BA143" s="4"/>
      <c r="BB143" s="4"/>
      <c r="BC143" s="5">
        <f t="shared" si="6"/>
        <v>8</v>
      </c>
      <c r="BD143" s="33" t="s">
        <v>18</v>
      </c>
      <c r="BE143" s="4"/>
    </row>
    <row r="144" spans="1:57" s="9" customFormat="1" ht="11.25">
      <c r="A144" s="26" t="s">
        <v>192</v>
      </c>
      <c r="B144" s="9" t="s">
        <v>103</v>
      </c>
      <c r="C144" s="9" t="s">
        <v>107</v>
      </c>
      <c r="D144" s="20" t="s">
        <v>18</v>
      </c>
      <c r="E144" s="4"/>
      <c r="F144" s="17"/>
      <c r="G144" s="4"/>
      <c r="H144" s="4"/>
      <c r="I144" s="4"/>
      <c r="J144" s="4"/>
      <c r="K144" s="4"/>
      <c r="L144" s="4"/>
      <c r="M144" s="4"/>
      <c r="N144" s="4"/>
      <c r="O144" s="4">
        <v>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0"/>
      <c r="AB144" s="4"/>
      <c r="AC144" s="4"/>
      <c r="AD144" s="4"/>
      <c r="AE144" s="4"/>
      <c r="AF144" s="4"/>
      <c r="AG144" s="4"/>
      <c r="AH144" s="4"/>
      <c r="AI144" s="4"/>
      <c r="AJ144" s="4"/>
      <c r="AK144" s="17"/>
      <c r="AL144" s="4"/>
      <c r="AM144" s="4"/>
      <c r="AN144" s="4"/>
      <c r="AO144" s="4">
        <v>1</v>
      </c>
      <c r="AP144" s="4">
        <v>1</v>
      </c>
      <c r="AQ144" s="4">
        <v>1</v>
      </c>
      <c r="AR144" s="4">
        <v>1</v>
      </c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5">
        <f t="shared" si="6"/>
        <v>5</v>
      </c>
      <c r="BD144" s="33" t="s">
        <v>18</v>
      </c>
      <c r="BE144" s="4"/>
    </row>
    <row r="145" spans="1:57" s="9" customFormat="1" ht="11.25">
      <c r="A145" s="26" t="s">
        <v>193</v>
      </c>
      <c r="B145" s="9" t="s">
        <v>98</v>
      </c>
      <c r="C145" s="9" t="s">
        <v>122</v>
      </c>
      <c r="D145" s="20" t="s">
        <v>18</v>
      </c>
      <c r="E145" s="4">
        <v>10</v>
      </c>
      <c r="F145" s="17">
        <v>2</v>
      </c>
      <c r="G145" s="4"/>
      <c r="H145" s="4"/>
      <c r="I145" s="4">
        <v>2</v>
      </c>
      <c r="J145" s="4"/>
      <c r="K145" s="4"/>
      <c r="L145" s="4"/>
      <c r="M145" s="4"/>
      <c r="N145" s="4"/>
      <c r="O145" s="4"/>
      <c r="P145" s="4"/>
      <c r="Q145" s="4"/>
      <c r="R145" s="4">
        <v>2</v>
      </c>
      <c r="S145" s="4"/>
      <c r="T145" s="4"/>
      <c r="U145" s="4">
        <v>1</v>
      </c>
      <c r="V145" s="4"/>
      <c r="W145" s="4"/>
      <c r="X145" s="4">
        <v>2</v>
      </c>
      <c r="Y145" s="4"/>
      <c r="Z145" s="4"/>
      <c r="AA145" s="10"/>
      <c r="AB145" s="4"/>
      <c r="AC145" s="4"/>
      <c r="AD145" s="4"/>
      <c r="AE145" s="4"/>
      <c r="AF145" s="4"/>
      <c r="AG145" s="4"/>
      <c r="AH145" s="4"/>
      <c r="AI145" s="4"/>
      <c r="AJ145" s="4"/>
      <c r="AK145" s="17"/>
      <c r="AL145" s="4"/>
      <c r="AM145" s="4"/>
      <c r="AN145" s="4"/>
      <c r="AO145" s="4"/>
      <c r="AP145" s="4"/>
      <c r="AQ145" s="4"/>
      <c r="AR145" s="4"/>
      <c r="AS145" s="4"/>
      <c r="AT145" s="4"/>
      <c r="AU145" s="4">
        <v>2</v>
      </c>
      <c r="AV145" s="4"/>
      <c r="AW145" s="4"/>
      <c r="AX145" s="4"/>
      <c r="AY145" s="4">
        <v>1</v>
      </c>
      <c r="AZ145" s="4"/>
      <c r="BA145" s="4">
        <v>10</v>
      </c>
      <c r="BB145" s="4"/>
      <c r="BC145" s="5">
        <f t="shared" si="6"/>
        <v>32</v>
      </c>
      <c r="BD145" s="33" t="s">
        <v>18</v>
      </c>
      <c r="BE145" s="4"/>
    </row>
    <row r="146" spans="1:57" s="8" customFormat="1" ht="11.25" hidden="1">
      <c r="A146" s="26"/>
      <c r="B146" s="9" t="s">
        <v>32</v>
      </c>
      <c r="C146" s="9" t="str">
        <f>"A/4"</f>
        <v>A/4</v>
      </c>
      <c r="D146" s="20" t="s">
        <v>18</v>
      </c>
      <c r="E146" s="5"/>
      <c r="F146" s="1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11"/>
      <c r="AB146" s="5"/>
      <c r="AC146" s="5"/>
      <c r="AD146" s="5"/>
      <c r="AE146" s="5"/>
      <c r="AF146" s="5"/>
      <c r="AG146" s="5"/>
      <c r="AH146" s="5"/>
      <c r="AI146" s="5"/>
      <c r="AJ146" s="5"/>
      <c r="AK146" s="17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>
        <f t="shared" si="6"/>
        <v>0</v>
      </c>
      <c r="BD146" s="33" t="s">
        <v>18</v>
      </c>
      <c r="BE146" s="5"/>
    </row>
    <row r="147" spans="1:57" s="9" customFormat="1" ht="11.25">
      <c r="A147" s="26" t="s">
        <v>194</v>
      </c>
      <c r="B147" s="9" t="s">
        <v>85</v>
      </c>
      <c r="C147" s="9" t="s">
        <v>86</v>
      </c>
      <c r="D147" s="20" t="s">
        <v>18</v>
      </c>
      <c r="E147" s="4"/>
      <c r="F147" s="17"/>
      <c r="G147" s="4"/>
      <c r="H147" s="4"/>
      <c r="I147" s="4"/>
      <c r="J147" s="4"/>
      <c r="K147" s="4"/>
      <c r="L147" s="4">
        <v>2</v>
      </c>
      <c r="M147" s="4"/>
      <c r="N147" s="4"/>
      <c r="O147" s="4">
        <v>11</v>
      </c>
      <c r="P147" s="4"/>
      <c r="Q147" s="4"/>
      <c r="R147" s="4"/>
      <c r="S147" s="4"/>
      <c r="T147" s="4"/>
      <c r="U147" s="4"/>
      <c r="V147" s="4"/>
      <c r="W147" s="4"/>
      <c r="X147" s="4"/>
      <c r="Y147" s="4">
        <v>1</v>
      </c>
      <c r="Z147" s="4"/>
      <c r="AA147" s="10"/>
      <c r="AB147" s="4"/>
      <c r="AC147" s="4"/>
      <c r="AD147" s="4"/>
      <c r="AE147" s="4"/>
      <c r="AF147" s="4"/>
      <c r="AG147" s="4"/>
      <c r="AH147" s="4"/>
      <c r="AI147" s="4"/>
      <c r="AJ147" s="4"/>
      <c r="AK147" s="17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5">
        <f t="shared" si="6"/>
        <v>14</v>
      </c>
      <c r="BD147" s="33" t="s">
        <v>18</v>
      </c>
      <c r="BE147" s="4"/>
    </row>
    <row r="148" spans="1:57" s="9" customFormat="1" ht="11.25">
      <c r="A148" s="26" t="s">
        <v>195</v>
      </c>
      <c r="B148" s="9" t="str">
        <f>"HIBAJAVÍTÓ ROLLER"</f>
        <v>HIBAJAVÍTÓ ROLLER</v>
      </c>
      <c r="C148" s="9" t="s">
        <v>72</v>
      </c>
      <c r="D148" s="20" t="s">
        <v>18</v>
      </c>
      <c r="E148" s="4"/>
      <c r="F148" s="17"/>
      <c r="G148" s="4">
        <v>2</v>
      </c>
      <c r="H148" s="4">
        <v>20</v>
      </c>
      <c r="I148" s="4">
        <v>4</v>
      </c>
      <c r="J148" s="4">
        <v>2</v>
      </c>
      <c r="K148" s="4"/>
      <c r="L148" s="4"/>
      <c r="M148" s="4"/>
      <c r="N148" s="4"/>
      <c r="O148" s="4"/>
      <c r="P148" s="4"/>
      <c r="Q148" s="4"/>
      <c r="R148" s="4">
        <v>2</v>
      </c>
      <c r="S148" s="4"/>
      <c r="T148" s="4"/>
      <c r="U148" s="4">
        <v>1</v>
      </c>
      <c r="V148" s="4"/>
      <c r="W148" s="4"/>
      <c r="X148" s="4"/>
      <c r="Y148" s="4">
        <v>1</v>
      </c>
      <c r="Z148" s="4">
        <v>1</v>
      </c>
      <c r="AA148" s="10"/>
      <c r="AB148" s="4"/>
      <c r="AC148" s="4"/>
      <c r="AD148" s="4"/>
      <c r="AE148" s="4"/>
      <c r="AF148" s="4"/>
      <c r="AG148" s="4"/>
      <c r="AH148" s="4"/>
      <c r="AI148" s="4"/>
      <c r="AJ148" s="4"/>
      <c r="AK148" s="17"/>
      <c r="AL148" s="4"/>
      <c r="AM148" s="4"/>
      <c r="AN148" s="4"/>
      <c r="AO148" s="4">
        <v>2</v>
      </c>
      <c r="AP148" s="4">
        <v>2</v>
      </c>
      <c r="AQ148" s="4">
        <v>2</v>
      </c>
      <c r="AR148" s="4">
        <v>2</v>
      </c>
      <c r="AS148" s="4"/>
      <c r="AT148" s="4"/>
      <c r="AU148" s="4">
        <v>2</v>
      </c>
      <c r="AV148" s="4">
        <v>2</v>
      </c>
      <c r="AW148" s="4">
        <v>2</v>
      </c>
      <c r="AX148" s="4"/>
      <c r="AY148" s="4"/>
      <c r="AZ148" s="4"/>
      <c r="BA148" s="4">
        <v>4</v>
      </c>
      <c r="BB148" s="4"/>
      <c r="BC148" s="5">
        <f t="shared" si="6"/>
        <v>51</v>
      </c>
      <c r="BD148" s="33" t="s">
        <v>18</v>
      </c>
      <c r="BE148" s="4"/>
    </row>
    <row r="149" spans="1:59" s="8" customFormat="1" ht="11.25" hidden="1">
      <c r="A149" s="26"/>
      <c r="B149" s="9" t="str">
        <f>"LEFŰZHETŐS TASAK"</f>
        <v>LEFŰZHETŐS TASAK</v>
      </c>
      <c r="C149" s="9"/>
      <c r="D149" s="20" t="s">
        <v>18</v>
      </c>
      <c r="E149" s="5"/>
      <c r="F149" s="1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11"/>
      <c r="AB149" s="5"/>
      <c r="AC149" s="5"/>
      <c r="AD149" s="5"/>
      <c r="AE149" s="5"/>
      <c r="AF149" s="5"/>
      <c r="AG149" s="5"/>
      <c r="AH149" s="5"/>
      <c r="AI149" s="5"/>
      <c r="AJ149" s="5"/>
      <c r="AK149" s="17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>
        <f t="shared" si="6"/>
        <v>0</v>
      </c>
      <c r="BD149" s="33" t="s">
        <v>18</v>
      </c>
      <c r="BE149" s="5"/>
      <c r="BG149" s="9"/>
    </row>
    <row r="150" spans="1:57" s="9" customFormat="1" ht="11.25" hidden="1">
      <c r="A150" s="26"/>
      <c r="B150" s="9" t="str">
        <f>"LEPORELLÓ (1 PLD-OS)"</f>
        <v>LEPORELLÓ (1 PLD-OS)</v>
      </c>
      <c r="C150" s="9" t="s">
        <v>0</v>
      </c>
      <c r="D150" s="20" t="s">
        <v>18</v>
      </c>
      <c r="E150" s="4"/>
      <c r="F150" s="1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0"/>
      <c r="AB150" s="4"/>
      <c r="AC150" s="4"/>
      <c r="AD150" s="4"/>
      <c r="AE150" s="4"/>
      <c r="AF150" s="4"/>
      <c r="AG150" s="4"/>
      <c r="AH150" s="4"/>
      <c r="AI150" s="4"/>
      <c r="AJ150" s="4"/>
      <c r="AK150" s="17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5">
        <f t="shared" si="6"/>
        <v>0</v>
      </c>
      <c r="BD150" s="33" t="s">
        <v>18</v>
      </c>
      <c r="BE150" s="4"/>
    </row>
    <row r="151" spans="1:57" s="9" customFormat="1" ht="11.25" hidden="1">
      <c r="A151" s="26"/>
      <c r="B151" s="9" t="str">
        <f>"LEPORELLÓ (2 PLD-OS)"</f>
        <v>LEPORELLÓ (2 PLD-OS)</v>
      </c>
      <c r="C151" s="9" t="s">
        <v>0</v>
      </c>
      <c r="D151" s="20" t="s">
        <v>18</v>
      </c>
      <c r="E151" s="4"/>
      <c r="F151" s="1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0"/>
      <c r="AB151" s="4"/>
      <c r="AC151" s="4"/>
      <c r="AD151" s="4"/>
      <c r="AE151" s="4"/>
      <c r="AF151" s="4"/>
      <c r="AG151" s="4"/>
      <c r="AH151" s="4"/>
      <c r="AI151" s="4"/>
      <c r="AJ151" s="4"/>
      <c r="AK151" s="17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5">
        <f t="shared" si="6"/>
        <v>0</v>
      </c>
      <c r="BD151" s="33" t="s">
        <v>18</v>
      </c>
      <c r="BE151" s="4"/>
    </row>
    <row r="152" spans="1:59" s="9" customFormat="1" ht="11.25" hidden="1">
      <c r="A152" s="26"/>
      <c r="B152" s="9" t="str">
        <f>"LEPORELLO (SZÉLES) MÜLLER"</f>
        <v>LEPORELLO (SZÉLES) MÜLLER</v>
      </c>
      <c r="C152" s="9" t="str">
        <f>"382/1"</f>
        <v>382/1</v>
      </c>
      <c r="D152" s="20" t="s">
        <v>18</v>
      </c>
      <c r="E152" s="4"/>
      <c r="F152" s="1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0"/>
      <c r="AB152" s="4"/>
      <c r="AC152" s="4"/>
      <c r="AD152" s="4"/>
      <c r="AE152" s="4"/>
      <c r="AF152" s="4"/>
      <c r="AG152" s="4"/>
      <c r="AH152" s="4"/>
      <c r="AI152" s="4"/>
      <c r="AJ152" s="4"/>
      <c r="AK152" s="17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5">
        <f t="shared" si="6"/>
        <v>0</v>
      </c>
      <c r="BD152" s="33" t="s">
        <v>18</v>
      </c>
      <c r="BE152" s="4"/>
      <c r="BG152" s="8"/>
    </row>
    <row r="153" spans="1:59" s="8" customFormat="1" ht="11.25" hidden="1">
      <c r="A153" s="26"/>
      <c r="B153" s="9" t="str">
        <f>"LÉPTÉKES VONALZÓ"</f>
        <v>LÉPTÉKES VONALZÓ</v>
      </c>
      <c r="C153" s="9" t="str">
        <f>"601"</f>
        <v>601</v>
      </c>
      <c r="D153" s="20" t="s">
        <v>18</v>
      </c>
      <c r="E153" s="5"/>
      <c r="F153" s="1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11"/>
      <c r="AB153" s="5"/>
      <c r="AC153" s="5"/>
      <c r="AD153" s="5"/>
      <c r="AE153" s="5"/>
      <c r="AF153" s="5"/>
      <c r="AG153" s="5"/>
      <c r="AH153" s="5"/>
      <c r="AI153" s="5"/>
      <c r="AJ153" s="5"/>
      <c r="AK153" s="17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>
        <f t="shared" si="6"/>
        <v>0</v>
      </c>
      <c r="BD153" s="33" t="s">
        <v>18</v>
      </c>
      <c r="BE153" s="5"/>
      <c r="BG153" s="9"/>
    </row>
    <row r="154" spans="1:59" s="9" customFormat="1" ht="11.25" hidden="1">
      <c r="A154" s="26"/>
      <c r="B154" s="9" t="str">
        <f>"LEVÉLBONTÓ KÉS"</f>
        <v>LEVÉLBONTÓ KÉS</v>
      </c>
      <c r="D154" s="20" t="s">
        <v>18</v>
      </c>
      <c r="E154" s="4"/>
      <c r="F154" s="1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0"/>
      <c r="AB154" s="4"/>
      <c r="AC154" s="4"/>
      <c r="AD154" s="4"/>
      <c r="AE154" s="4"/>
      <c r="AF154" s="4"/>
      <c r="AG154" s="4"/>
      <c r="AH154" s="4"/>
      <c r="AI154" s="4"/>
      <c r="AJ154" s="4"/>
      <c r="AK154" s="17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5">
        <f t="shared" si="6"/>
        <v>0</v>
      </c>
      <c r="BD154" s="33" t="s">
        <v>18</v>
      </c>
      <c r="BE154" s="4"/>
      <c r="BG154" s="8"/>
    </row>
    <row r="155" spans="1:57" s="8" customFormat="1" ht="11.25" hidden="1">
      <c r="A155" s="26"/>
      <c r="B155" s="9" t="str">
        <f>"LYUKASZTÓGÉP"</f>
        <v>LYUKASZTÓGÉP</v>
      </c>
      <c r="C155" s="9" t="str">
        <f>"EAGLE 837 L"</f>
        <v>EAGLE 837 L</v>
      </c>
      <c r="D155" s="20" t="s">
        <v>18</v>
      </c>
      <c r="E155" s="5"/>
      <c r="F155" s="1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11"/>
      <c r="AB155" s="5"/>
      <c r="AC155" s="5"/>
      <c r="AD155" s="5"/>
      <c r="AE155" s="5"/>
      <c r="AF155" s="5"/>
      <c r="AG155" s="5"/>
      <c r="AH155" s="5"/>
      <c r="AI155" s="5"/>
      <c r="AJ155" s="5"/>
      <c r="AK155" s="17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>
        <f t="shared" si="6"/>
        <v>0</v>
      </c>
      <c r="BD155" s="33" t="s">
        <v>18</v>
      </c>
      <c r="BE155" s="5"/>
    </row>
    <row r="156" spans="1:57" s="8" customFormat="1" ht="11.25" hidden="1">
      <c r="A156" s="26"/>
      <c r="B156" s="9" t="str">
        <f>"LYUKASZTÓGÉP"</f>
        <v>LYUKASZTÓGÉP</v>
      </c>
      <c r="C156" s="9" t="str">
        <f>"RAPESCO 820-P"</f>
        <v>RAPESCO 820-P</v>
      </c>
      <c r="D156" s="20" t="s">
        <v>18</v>
      </c>
      <c r="E156" s="5"/>
      <c r="F156" s="1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11"/>
      <c r="AB156" s="5"/>
      <c r="AC156" s="5"/>
      <c r="AD156" s="5"/>
      <c r="AE156" s="5"/>
      <c r="AF156" s="5"/>
      <c r="AG156" s="5"/>
      <c r="AH156" s="5"/>
      <c r="AI156" s="5"/>
      <c r="AJ156" s="5"/>
      <c r="AK156" s="17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>
        <f t="shared" si="6"/>
        <v>0</v>
      </c>
      <c r="BD156" s="33" t="s">
        <v>18</v>
      </c>
      <c r="BE156" s="5"/>
    </row>
    <row r="157" spans="1:57" s="8" customFormat="1" ht="11.25" hidden="1">
      <c r="A157" s="26"/>
      <c r="B157" s="9" t="str">
        <f>"LYUKASZTÓGÉP"</f>
        <v>LYUKASZTÓGÉP</v>
      </c>
      <c r="C157" s="9" t="str">
        <f>"SAX 318"</f>
        <v>SAX 318</v>
      </c>
      <c r="D157" s="20" t="s">
        <v>18</v>
      </c>
      <c r="E157" s="5"/>
      <c r="F157" s="1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11"/>
      <c r="AB157" s="5"/>
      <c r="AC157" s="5"/>
      <c r="AD157" s="5"/>
      <c r="AE157" s="5"/>
      <c r="AF157" s="5"/>
      <c r="AG157" s="5"/>
      <c r="AH157" s="5"/>
      <c r="AI157" s="5"/>
      <c r="AJ157" s="5"/>
      <c r="AK157" s="17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>
        <f t="shared" si="6"/>
        <v>0</v>
      </c>
      <c r="BD157" s="33" t="s">
        <v>18</v>
      </c>
      <c r="BE157" s="5"/>
    </row>
    <row r="158" spans="1:57" s="8" customFormat="1" ht="11.25" hidden="1">
      <c r="A158" s="26"/>
      <c r="B158" s="9" t="str">
        <f>"MAGIC CLIP ADAGOLÓ"</f>
        <v>MAGIC CLIP ADAGOLÓ</v>
      </c>
      <c r="C158" s="9"/>
      <c r="D158" s="20" t="s">
        <v>18</v>
      </c>
      <c r="E158" s="5"/>
      <c r="F158" s="1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11"/>
      <c r="AB158" s="5"/>
      <c r="AC158" s="5"/>
      <c r="AD158" s="5"/>
      <c r="AE158" s="5"/>
      <c r="AF158" s="5"/>
      <c r="AG158" s="5"/>
      <c r="AH158" s="5"/>
      <c r="AI158" s="5"/>
      <c r="AJ158" s="5"/>
      <c r="AK158" s="17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>
        <f t="shared" si="6"/>
        <v>0</v>
      </c>
      <c r="BD158" s="33" t="s">
        <v>18</v>
      </c>
      <c r="BE158" s="5"/>
    </row>
    <row r="159" spans="1:57" s="8" customFormat="1" ht="11.25">
      <c r="A159" s="26" t="s">
        <v>196</v>
      </c>
      <c r="B159" s="9" t="s">
        <v>32</v>
      </c>
      <c r="C159" s="9" t="s">
        <v>84</v>
      </c>
      <c r="D159" s="20" t="s">
        <v>18</v>
      </c>
      <c r="E159" s="5">
        <v>5</v>
      </c>
      <c r="F159" s="17"/>
      <c r="G159" s="5"/>
      <c r="H159" s="5"/>
      <c r="I159" s="5"/>
      <c r="J159" s="5"/>
      <c r="K159" s="5"/>
      <c r="L159" s="5"/>
      <c r="M159" s="5"/>
      <c r="N159" s="5"/>
      <c r="O159" s="5">
        <v>5</v>
      </c>
      <c r="P159" s="5"/>
      <c r="Q159" s="5"/>
      <c r="R159" s="5">
        <v>2</v>
      </c>
      <c r="S159" s="5"/>
      <c r="T159" s="5"/>
      <c r="U159" s="5"/>
      <c r="V159" s="5"/>
      <c r="W159" s="5"/>
      <c r="X159" s="5"/>
      <c r="Y159" s="5"/>
      <c r="Z159" s="5"/>
      <c r="AA159" s="11"/>
      <c r="AB159" s="5"/>
      <c r="AC159" s="5"/>
      <c r="AD159" s="5"/>
      <c r="AE159" s="5"/>
      <c r="AF159" s="5"/>
      <c r="AG159" s="5"/>
      <c r="AH159" s="5"/>
      <c r="AI159" s="5"/>
      <c r="AJ159" s="5"/>
      <c r="AK159" s="17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>
        <f t="shared" si="6"/>
        <v>12</v>
      </c>
      <c r="BD159" s="33" t="s">
        <v>18</v>
      </c>
      <c r="BE159" s="5"/>
    </row>
    <row r="160" spans="1:57" s="8" customFormat="1" ht="11.25">
      <c r="A160" s="26" t="s">
        <v>197</v>
      </c>
      <c r="B160" s="9" t="s">
        <v>32</v>
      </c>
      <c r="C160" s="9" t="s">
        <v>104</v>
      </c>
      <c r="D160" s="20" t="s">
        <v>18</v>
      </c>
      <c r="E160" s="5"/>
      <c r="F160" s="17"/>
      <c r="G160" s="5"/>
      <c r="H160" s="5"/>
      <c r="I160" s="5"/>
      <c r="J160" s="5"/>
      <c r="K160" s="5"/>
      <c r="L160" s="5"/>
      <c r="M160" s="5"/>
      <c r="N160" s="5"/>
      <c r="O160" s="5">
        <v>10</v>
      </c>
      <c r="P160" s="5">
        <v>2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11"/>
      <c r="AB160" s="5"/>
      <c r="AC160" s="5"/>
      <c r="AD160" s="5"/>
      <c r="AE160" s="5"/>
      <c r="AF160" s="5"/>
      <c r="AG160" s="5"/>
      <c r="AH160" s="5"/>
      <c r="AI160" s="5"/>
      <c r="AJ160" s="5"/>
      <c r="AK160" s="17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W160" s="5">
        <v>15</v>
      </c>
      <c r="AX160" s="5"/>
      <c r="AY160" s="5"/>
      <c r="AZ160" s="5"/>
      <c r="BA160" s="5"/>
      <c r="BB160" s="5"/>
      <c r="BC160" s="5">
        <f t="shared" si="6"/>
        <v>27</v>
      </c>
      <c r="BD160" s="33" t="s">
        <v>18</v>
      </c>
      <c r="BE160" s="5"/>
    </row>
    <row r="161" spans="1:57" s="8" customFormat="1" ht="11.25">
      <c r="A161" s="26" t="s">
        <v>198</v>
      </c>
      <c r="B161" s="9" t="s">
        <v>32</v>
      </c>
      <c r="C161" s="9" t="s">
        <v>90</v>
      </c>
      <c r="D161" s="20" t="s">
        <v>18</v>
      </c>
      <c r="E161" s="5"/>
      <c r="F161" s="1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>
        <v>2</v>
      </c>
      <c r="V161" s="5"/>
      <c r="W161" s="5"/>
      <c r="X161" s="5"/>
      <c r="Y161" s="5"/>
      <c r="Z161" s="5"/>
      <c r="AA161" s="11"/>
      <c r="AB161" s="5"/>
      <c r="AC161" s="5"/>
      <c r="AD161" s="5"/>
      <c r="AE161" s="5"/>
      <c r="AF161" s="5"/>
      <c r="AG161" s="5"/>
      <c r="AH161" s="5"/>
      <c r="AI161" s="5"/>
      <c r="AJ161" s="5"/>
      <c r="AK161" s="17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>
        <f t="shared" si="6"/>
        <v>2</v>
      </c>
      <c r="BD161" s="33" t="s">
        <v>18</v>
      </c>
      <c r="BE161" s="5"/>
    </row>
    <row r="162" spans="1:57" s="8" customFormat="1" ht="11.25">
      <c r="A162" s="26" t="s">
        <v>199</v>
      </c>
      <c r="B162" s="9" t="s">
        <v>32</v>
      </c>
      <c r="C162" s="9" t="s">
        <v>95</v>
      </c>
      <c r="D162" s="20" t="s">
        <v>18</v>
      </c>
      <c r="E162" s="5">
        <v>5</v>
      </c>
      <c r="F162" s="17"/>
      <c r="G162" s="5"/>
      <c r="H162" s="5"/>
      <c r="I162" s="5"/>
      <c r="J162" s="5">
        <v>5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11"/>
      <c r="AB162" s="5"/>
      <c r="AC162" s="5"/>
      <c r="AD162" s="5"/>
      <c r="AE162" s="5"/>
      <c r="AF162" s="5"/>
      <c r="AG162" s="5"/>
      <c r="AH162" s="5"/>
      <c r="AI162" s="5"/>
      <c r="AJ162" s="5"/>
      <c r="AK162" s="17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>
        <f t="shared" si="6"/>
        <v>10</v>
      </c>
      <c r="BD162" s="33" t="s">
        <v>18</v>
      </c>
      <c r="BE162" s="5"/>
    </row>
    <row r="163" spans="1:57" s="8" customFormat="1" ht="11.25" hidden="1">
      <c r="A163" s="26"/>
      <c r="B163" s="9" t="s">
        <v>33</v>
      </c>
      <c r="C163" s="9" t="str">
        <f>"A/4"</f>
        <v>A/4</v>
      </c>
      <c r="D163" s="20" t="s">
        <v>18</v>
      </c>
      <c r="E163" s="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11"/>
      <c r="AB163" s="5"/>
      <c r="AC163" s="5"/>
      <c r="AD163" s="5"/>
      <c r="AE163" s="5"/>
      <c r="AF163" s="5"/>
      <c r="AG163" s="5"/>
      <c r="AH163" s="5"/>
      <c r="AI163" s="5"/>
      <c r="AJ163" s="5"/>
      <c r="AK163" s="17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>
        <f t="shared" si="6"/>
        <v>0</v>
      </c>
      <c r="BD163" s="33" t="s">
        <v>18</v>
      </c>
      <c r="BE163" s="5"/>
    </row>
    <row r="164" spans="1:57" s="8" customFormat="1" ht="11.25">
      <c r="A164" s="26" t="s">
        <v>200</v>
      </c>
      <c r="B164" s="9" t="s">
        <v>32</v>
      </c>
      <c r="C164" s="9" t="s">
        <v>108</v>
      </c>
      <c r="D164" s="20" t="s">
        <v>18</v>
      </c>
      <c r="E164" s="5"/>
      <c r="F164" s="1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11"/>
      <c r="AB164" s="5"/>
      <c r="AC164" s="5"/>
      <c r="AD164" s="5"/>
      <c r="AE164" s="5"/>
      <c r="AF164" s="5"/>
      <c r="AG164" s="5"/>
      <c r="AH164" s="5"/>
      <c r="AI164" s="5"/>
      <c r="AJ164" s="5"/>
      <c r="AK164" s="17"/>
      <c r="AL164" s="5"/>
      <c r="AM164" s="5"/>
      <c r="AN164" s="5"/>
      <c r="AO164" s="5"/>
      <c r="AP164" s="5"/>
      <c r="AQ164" s="5"/>
      <c r="AR164" s="5"/>
      <c r="AS164" s="5"/>
      <c r="AT164" s="5"/>
      <c r="AU164" s="5">
        <v>15</v>
      </c>
      <c r="AV164" s="5"/>
      <c r="AW164" s="5"/>
      <c r="AX164" s="5"/>
      <c r="AY164" s="5"/>
      <c r="AZ164" s="5"/>
      <c r="BA164" s="5"/>
      <c r="BB164" s="5"/>
      <c r="BC164" s="5">
        <f t="shared" si="6"/>
        <v>15</v>
      </c>
      <c r="BD164" s="33" t="s">
        <v>18</v>
      </c>
      <c r="BE164" s="5"/>
    </row>
    <row r="165" spans="1:57" s="8" customFormat="1" ht="11.25">
      <c r="A165" s="26" t="s">
        <v>201</v>
      </c>
      <c r="B165" s="9" t="s">
        <v>32</v>
      </c>
      <c r="C165" s="9" t="s">
        <v>109</v>
      </c>
      <c r="D165" s="20" t="s">
        <v>18</v>
      </c>
      <c r="E165" s="5"/>
      <c r="F165" s="1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11"/>
      <c r="AB165" s="5"/>
      <c r="AC165" s="5"/>
      <c r="AD165" s="5"/>
      <c r="AE165" s="5"/>
      <c r="AF165" s="5"/>
      <c r="AG165" s="5"/>
      <c r="AH165" s="5"/>
      <c r="AI165" s="5"/>
      <c r="AJ165" s="5"/>
      <c r="AK165" s="17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>
        <v>15</v>
      </c>
      <c r="AW165" s="5"/>
      <c r="AX165" s="5"/>
      <c r="AY165" s="5"/>
      <c r="AZ165" s="5"/>
      <c r="BA165" s="5"/>
      <c r="BB165" s="5"/>
      <c r="BC165" s="5">
        <f t="shared" si="6"/>
        <v>15</v>
      </c>
      <c r="BD165" s="33" t="s">
        <v>18</v>
      </c>
      <c r="BE165" s="5"/>
    </row>
    <row r="166" spans="1:57" s="8" customFormat="1" ht="11.25">
      <c r="A166" s="26" t="s">
        <v>202</v>
      </c>
      <c r="B166" s="9" t="str">
        <f>"IRATRENDEZŐ (TOKOS) SZÍNES"</f>
        <v>IRATRENDEZŐ (TOKOS) SZÍNES</v>
      </c>
      <c r="C166" s="9" t="str">
        <f>"A/4"</f>
        <v>A/4</v>
      </c>
      <c r="D166" s="20" t="s">
        <v>18</v>
      </c>
      <c r="E166" s="5"/>
      <c r="F166" s="1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11"/>
      <c r="AB166" s="5"/>
      <c r="AC166" s="5"/>
      <c r="AD166" s="5"/>
      <c r="AE166" s="5"/>
      <c r="AF166" s="5"/>
      <c r="AG166" s="5"/>
      <c r="AH166" s="5"/>
      <c r="AI166" s="5"/>
      <c r="AJ166" s="5"/>
      <c r="AK166" s="17"/>
      <c r="AL166" s="5"/>
      <c r="AM166" s="5"/>
      <c r="AN166" s="5"/>
      <c r="AO166" s="5"/>
      <c r="AP166" s="5"/>
      <c r="AQ166" s="5"/>
      <c r="AR166" s="5"/>
      <c r="AS166" s="5">
        <v>10</v>
      </c>
      <c r="AT166" s="5">
        <v>10</v>
      </c>
      <c r="AU166" s="5"/>
      <c r="AV166" s="5">
        <v>40</v>
      </c>
      <c r="AW166" s="5"/>
      <c r="AX166" s="5"/>
      <c r="AY166" s="5"/>
      <c r="AZ166" s="5"/>
      <c r="BA166" s="5">
        <v>10</v>
      </c>
      <c r="BB166" s="5"/>
      <c r="BC166" s="5">
        <f t="shared" si="6"/>
        <v>70</v>
      </c>
      <c r="BD166" s="33" t="s">
        <v>18</v>
      </c>
      <c r="BE166" s="5"/>
    </row>
    <row r="167" spans="1:57" s="8" customFormat="1" ht="11.25" hidden="1">
      <c r="A167" s="26"/>
      <c r="B167" s="9" t="str">
        <f>"RAGASZTÓ SZALAG TÜKÖRHÖZ"</f>
        <v>RAGASZTÓ SZALAG TÜKÖRHÖZ</v>
      </c>
      <c r="C167" s="9"/>
      <c r="D167" s="20" t="s">
        <v>18</v>
      </c>
      <c r="E167" s="5"/>
      <c r="F167" s="1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11"/>
      <c r="AB167" s="5"/>
      <c r="AC167" s="5"/>
      <c r="AD167" s="5"/>
      <c r="AE167" s="5"/>
      <c r="AF167" s="5"/>
      <c r="AG167" s="5"/>
      <c r="AH167" s="5"/>
      <c r="AI167" s="5"/>
      <c r="AJ167" s="5"/>
      <c r="AK167" s="17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>
        <f t="shared" si="6"/>
        <v>0</v>
      </c>
      <c r="BD167" s="33" t="s">
        <v>18</v>
      </c>
      <c r="BE167" s="5"/>
    </row>
    <row r="168" spans="1:57" s="8" customFormat="1" ht="11.25" hidden="1">
      <c r="A168" s="26"/>
      <c r="B168" s="9" t="str">
        <f>"RAJZLAP"</f>
        <v>RAJZLAP</v>
      </c>
      <c r="C168" s="9" t="str">
        <f>"A/1"</f>
        <v>A/1</v>
      </c>
      <c r="D168" s="20" t="s">
        <v>18</v>
      </c>
      <c r="E168" s="5"/>
      <c r="F168" s="1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11"/>
      <c r="AB168" s="5"/>
      <c r="AC168" s="5"/>
      <c r="AD168" s="5"/>
      <c r="AE168" s="5"/>
      <c r="AF168" s="5"/>
      <c r="AG168" s="5"/>
      <c r="AH168" s="5"/>
      <c r="AI168" s="5"/>
      <c r="AJ168" s="5"/>
      <c r="AK168" s="17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>
        <f t="shared" si="6"/>
        <v>0</v>
      </c>
      <c r="BD168" s="33" t="s">
        <v>18</v>
      </c>
      <c r="BE168" s="5"/>
    </row>
    <row r="169" spans="1:57" s="8" customFormat="1" ht="11.25" hidden="1">
      <c r="A169" s="26"/>
      <c r="B169" s="9" t="str">
        <f>"RAJZLAP"</f>
        <v>RAJZLAP</v>
      </c>
      <c r="C169" s="9" t="str">
        <f>"A/2"</f>
        <v>A/2</v>
      </c>
      <c r="D169" s="20" t="s">
        <v>18</v>
      </c>
      <c r="E169" s="5"/>
      <c r="F169" s="1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11"/>
      <c r="AB169" s="5"/>
      <c r="AC169" s="5"/>
      <c r="AD169" s="5"/>
      <c r="AE169" s="5"/>
      <c r="AF169" s="5"/>
      <c r="AG169" s="5"/>
      <c r="AH169" s="5"/>
      <c r="AI169" s="5"/>
      <c r="AJ169" s="5"/>
      <c r="AK169" s="17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>
        <f t="shared" si="6"/>
        <v>0</v>
      </c>
      <c r="BD169" s="33" t="s">
        <v>18</v>
      </c>
      <c r="BE169" s="5"/>
    </row>
    <row r="170" spans="1:57" s="8" customFormat="1" ht="11.25" hidden="1">
      <c r="A170" s="26"/>
      <c r="B170" s="9" t="str">
        <f>"RAJZLAP"</f>
        <v>RAJZLAP</v>
      </c>
      <c r="C170" s="9" t="str">
        <f>"A/4"</f>
        <v>A/4</v>
      </c>
      <c r="D170" s="20" t="s">
        <v>18</v>
      </c>
      <c r="E170" s="5"/>
      <c r="F170" s="1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11"/>
      <c r="AB170" s="5"/>
      <c r="AC170" s="5"/>
      <c r="AD170" s="5"/>
      <c r="AE170" s="5"/>
      <c r="AF170" s="5"/>
      <c r="AG170" s="5"/>
      <c r="AH170" s="5"/>
      <c r="AI170" s="5"/>
      <c r="AJ170" s="5"/>
      <c r="AK170" s="17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>
        <f t="shared" si="6"/>
        <v>0</v>
      </c>
      <c r="BD170" s="33" t="s">
        <v>18</v>
      </c>
      <c r="BE170" s="5"/>
    </row>
    <row r="171" spans="1:57" s="8" customFormat="1" ht="11.25">
      <c r="A171" s="26" t="s">
        <v>203</v>
      </c>
      <c r="B171" s="9" t="s">
        <v>115</v>
      </c>
      <c r="C171" s="9" t="str">
        <f>"A/4"</f>
        <v>A/4</v>
      </c>
      <c r="D171" s="20" t="s">
        <v>18</v>
      </c>
      <c r="E171" s="5"/>
      <c r="F171" s="17">
        <v>2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11"/>
      <c r="AB171" s="5"/>
      <c r="AC171" s="5"/>
      <c r="AD171" s="5"/>
      <c r="AE171" s="5"/>
      <c r="AF171" s="5"/>
      <c r="AG171" s="5"/>
      <c r="AH171" s="5"/>
      <c r="AI171" s="5"/>
      <c r="AJ171" s="5"/>
      <c r="AK171" s="17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>
        <f t="shared" si="6"/>
        <v>2</v>
      </c>
      <c r="BD171" s="33" t="s">
        <v>18</v>
      </c>
      <c r="BE171" s="5"/>
    </row>
    <row r="172" spans="1:57" s="8" customFormat="1" ht="11.25">
      <c r="A172" s="26" t="s">
        <v>204</v>
      </c>
      <c r="B172" s="9" t="s">
        <v>112</v>
      </c>
      <c r="C172" s="9" t="s">
        <v>113</v>
      </c>
      <c r="D172" s="20" t="s">
        <v>18</v>
      </c>
      <c r="E172" s="5"/>
      <c r="F172" s="1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11"/>
      <c r="AB172" s="5"/>
      <c r="AC172" s="5"/>
      <c r="AD172" s="5"/>
      <c r="AE172" s="5"/>
      <c r="AF172" s="5"/>
      <c r="AG172" s="5"/>
      <c r="AH172" s="5"/>
      <c r="AI172" s="5"/>
      <c r="AJ172" s="5"/>
      <c r="AK172" s="17"/>
      <c r="AL172" s="5"/>
      <c r="AM172" s="5"/>
      <c r="AN172" s="5"/>
      <c r="AO172" s="5"/>
      <c r="AP172" s="5"/>
      <c r="AQ172" s="5"/>
      <c r="AR172" s="5"/>
      <c r="AS172" s="5">
        <v>5</v>
      </c>
      <c r="AT172" s="5">
        <v>5</v>
      </c>
      <c r="AU172" s="5"/>
      <c r="AV172" s="5"/>
      <c r="AW172" s="5"/>
      <c r="AX172" s="5"/>
      <c r="AY172" s="5"/>
      <c r="AZ172" s="5"/>
      <c r="BA172" s="5"/>
      <c r="BB172" s="5"/>
      <c r="BC172" s="5">
        <f t="shared" si="6"/>
        <v>10</v>
      </c>
      <c r="BD172" s="33" t="s">
        <v>18</v>
      </c>
      <c r="BE172" s="5"/>
    </row>
    <row r="173" spans="1:57" s="8" customFormat="1" ht="11.25">
      <c r="A173" s="26" t="s">
        <v>205</v>
      </c>
      <c r="B173" s="8" t="s">
        <v>61</v>
      </c>
      <c r="D173" s="20" t="s">
        <v>25</v>
      </c>
      <c r="E173" s="5">
        <v>2</v>
      </c>
      <c r="F173" s="5"/>
      <c r="G173" s="5"/>
      <c r="H173" s="5"/>
      <c r="I173" s="5">
        <v>1</v>
      </c>
      <c r="J173" s="5">
        <v>1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11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>
        <v>2</v>
      </c>
      <c r="BB173" s="5"/>
      <c r="BC173" s="5">
        <f t="shared" si="6"/>
        <v>6</v>
      </c>
      <c r="BD173" s="33" t="s">
        <v>25</v>
      </c>
      <c r="BE173" s="5"/>
    </row>
    <row r="174" spans="1:57" s="9" customFormat="1" ht="11.25" hidden="1">
      <c r="A174" s="26"/>
      <c r="B174" s="9" t="str">
        <f>"RAKTÁRI KÉSZLETNYILVÁNTARTÓ"</f>
        <v>RAKTÁRI KÉSZLETNYILVÁNTARTÓ</v>
      </c>
      <c r="C174" s="9" t="str">
        <f>"B.12-152"</f>
        <v>B.12-152</v>
      </c>
      <c r="D174" s="17"/>
      <c r="E174" s="4"/>
      <c r="F174" s="1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0"/>
      <c r="AB174" s="4"/>
      <c r="AC174" s="4"/>
      <c r="AD174" s="4"/>
      <c r="AE174" s="4"/>
      <c r="AF174" s="4"/>
      <c r="AG174" s="4"/>
      <c r="AH174" s="4"/>
      <c r="AI174" s="4"/>
      <c r="AJ174" s="4"/>
      <c r="AK174" s="17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5">
        <f t="shared" si="6"/>
        <v>0</v>
      </c>
      <c r="BD174" s="32"/>
      <c r="BE174" s="4"/>
    </row>
    <row r="175" spans="1:57" s="9" customFormat="1" ht="11.25" hidden="1">
      <c r="A175" s="26"/>
      <c r="B175" s="9" t="s">
        <v>2</v>
      </c>
      <c r="C175" s="9" t="s">
        <v>4</v>
      </c>
      <c r="D175" s="20" t="s">
        <v>18</v>
      </c>
      <c r="E175" s="4"/>
      <c r="F175" s="1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5"/>
      <c r="AA175" s="10"/>
      <c r="AB175" s="4"/>
      <c r="AC175" s="4"/>
      <c r="AD175" s="4"/>
      <c r="AE175" s="4"/>
      <c r="AF175" s="4"/>
      <c r="AG175" s="4"/>
      <c r="AH175" s="4"/>
      <c r="AI175" s="4"/>
      <c r="AJ175" s="4"/>
      <c r="AK175" s="17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5">
        <f t="shared" si="6"/>
        <v>0</v>
      </c>
      <c r="BD175" s="33" t="s">
        <v>18</v>
      </c>
      <c r="BE175" s="4"/>
    </row>
    <row r="176" spans="1:57" s="9" customFormat="1" ht="11.25" hidden="1">
      <c r="A176" s="26"/>
      <c r="B176" s="9" t="s">
        <v>75</v>
      </c>
      <c r="C176" s="9" t="str">
        <f>"PENTEL"</f>
        <v>PENTEL</v>
      </c>
      <c r="D176" s="20" t="s">
        <v>18</v>
      </c>
      <c r="E176" s="4"/>
      <c r="F176" s="1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0"/>
      <c r="AB176" s="4"/>
      <c r="AC176" s="4"/>
      <c r="AD176" s="4"/>
      <c r="AE176" s="4"/>
      <c r="AF176" s="4"/>
      <c r="AG176" s="4"/>
      <c r="AH176" s="4"/>
      <c r="AI176" s="4"/>
      <c r="AJ176" s="4"/>
      <c r="AK176" s="17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5">
        <f t="shared" si="6"/>
        <v>0</v>
      </c>
      <c r="BD176" s="33" t="s">
        <v>18</v>
      </c>
      <c r="BE176" s="4"/>
    </row>
    <row r="177" spans="1:59" s="9" customFormat="1" ht="11.25" hidden="1">
      <c r="A177" s="26"/>
      <c r="B177" s="9" t="s">
        <v>75</v>
      </c>
      <c r="C177" s="9" t="str">
        <f>"ULTRA FINE 3"</f>
        <v>ULTRA FINE 3</v>
      </c>
      <c r="D177" s="20" t="s">
        <v>18</v>
      </c>
      <c r="E177" s="4"/>
      <c r="F177" s="1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0"/>
      <c r="AB177" s="4"/>
      <c r="AC177" s="4"/>
      <c r="AD177" s="4"/>
      <c r="AE177" s="4"/>
      <c r="AF177" s="4"/>
      <c r="AG177" s="4"/>
      <c r="AH177" s="4"/>
      <c r="AI177" s="4"/>
      <c r="AJ177" s="4"/>
      <c r="AK177" s="17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5">
        <f t="shared" si="6"/>
        <v>0</v>
      </c>
      <c r="BD177" s="33" t="s">
        <v>18</v>
      </c>
      <c r="BE177" s="4"/>
      <c r="BG177" s="8"/>
    </row>
    <row r="178" spans="1:57" s="8" customFormat="1" ht="11.25" hidden="1">
      <c r="A178" s="26"/>
      <c r="B178" s="9" t="s">
        <v>75</v>
      </c>
      <c r="C178" s="9" t="str">
        <f>"18X25 MM"</f>
        <v>18X25 MM</v>
      </c>
      <c r="D178" s="20" t="s">
        <v>18</v>
      </c>
      <c r="E178" s="5"/>
      <c r="F178" s="1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11"/>
      <c r="AB178" s="5"/>
      <c r="AC178" s="5"/>
      <c r="AD178" s="5"/>
      <c r="AE178" s="5"/>
      <c r="AF178" s="5"/>
      <c r="AG178" s="5"/>
      <c r="AH178" s="5"/>
      <c r="AI178" s="5"/>
      <c r="AJ178" s="5"/>
      <c r="AK178" s="17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>
        <f t="shared" si="6"/>
        <v>0</v>
      </c>
      <c r="BD178" s="33" t="s">
        <v>18</v>
      </c>
      <c r="BE178" s="5"/>
    </row>
    <row r="179" spans="1:59" s="8" customFormat="1" ht="11.25" hidden="1">
      <c r="A179" s="26"/>
      <c r="B179" s="9" t="s">
        <v>75</v>
      </c>
      <c r="C179" s="9" t="str">
        <f>"20X32 MM"</f>
        <v>20X32 MM</v>
      </c>
      <c r="D179" s="20" t="s">
        <v>18</v>
      </c>
      <c r="E179" s="5"/>
      <c r="F179" s="1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11"/>
      <c r="AB179" s="5"/>
      <c r="AC179" s="5"/>
      <c r="AD179" s="5"/>
      <c r="AE179" s="5"/>
      <c r="AF179" s="5"/>
      <c r="AG179" s="5"/>
      <c r="AH179" s="5"/>
      <c r="AI179" s="5"/>
      <c r="AJ179" s="5"/>
      <c r="AK179" s="17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>
        <f t="shared" si="6"/>
        <v>0</v>
      </c>
      <c r="BD179" s="33" t="s">
        <v>18</v>
      </c>
      <c r="BE179" s="5"/>
      <c r="BG179" s="9"/>
    </row>
    <row r="180" spans="1:59" s="9" customFormat="1" ht="11.25" hidden="1">
      <c r="A180" s="26"/>
      <c r="B180" s="9" t="s">
        <v>75</v>
      </c>
      <c r="C180" s="9" t="str">
        <f>"PÁTRIA"</f>
        <v>PÁTRIA</v>
      </c>
      <c r="D180" s="20" t="s">
        <v>18</v>
      </c>
      <c r="E180" s="4"/>
      <c r="F180" s="1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0"/>
      <c r="AB180" s="4"/>
      <c r="AC180" s="4"/>
      <c r="AD180" s="4"/>
      <c r="AE180" s="4"/>
      <c r="AF180" s="4"/>
      <c r="AG180" s="4"/>
      <c r="AH180" s="4"/>
      <c r="AI180" s="4"/>
      <c r="AJ180" s="4"/>
      <c r="AK180" s="17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5">
        <f t="shared" si="6"/>
        <v>0</v>
      </c>
      <c r="BD180" s="33" t="s">
        <v>18</v>
      </c>
      <c r="BE180" s="4"/>
      <c r="BG180" s="8"/>
    </row>
    <row r="181" spans="1:57" s="8" customFormat="1" ht="11.25" hidden="1">
      <c r="A181" s="26"/>
      <c r="B181" s="9" t="s">
        <v>75</v>
      </c>
      <c r="C181" s="9"/>
      <c r="D181" s="20" t="s">
        <v>18</v>
      </c>
      <c r="E181" s="5"/>
      <c r="F181" s="1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11"/>
      <c r="AB181" s="5"/>
      <c r="AC181" s="5"/>
      <c r="AD181" s="5"/>
      <c r="AE181" s="5"/>
      <c r="AF181" s="5"/>
      <c r="AG181" s="5"/>
      <c r="AH181" s="5"/>
      <c r="AI181" s="5"/>
      <c r="AJ181" s="5"/>
      <c r="AK181" s="17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>
        <f t="shared" si="6"/>
        <v>0</v>
      </c>
      <c r="BD181" s="33" t="s">
        <v>18</v>
      </c>
      <c r="BE181" s="5"/>
    </row>
    <row r="182" spans="1:57" s="8" customFormat="1" ht="11.25">
      <c r="A182" s="26" t="s">
        <v>206</v>
      </c>
      <c r="B182" s="9" t="s">
        <v>116</v>
      </c>
      <c r="C182" s="9" t="s">
        <v>117</v>
      </c>
      <c r="D182" s="20" t="s">
        <v>19</v>
      </c>
      <c r="E182" s="5"/>
      <c r="F182" s="1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2</v>
      </c>
      <c r="S182" s="5"/>
      <c r="T182" s="5"/>
      <c r="U182" s="5">
        <v>1</v>
      </c>
      <c r="V182" s="5"/>
      <c r="W182" s="5"/>
      <c r="X182" s="5"/>
      <c r="Y182" s="5"/>
      <c r="Z182" s="5"/>
      <c r="AA182" s="11"/>
      <c r="AB182" s="5"/>
      <c r="AC182" s="5"/>
      <c r="AD182" s="5"/>
      <c r="AE182" s="5"/>
      <c r="AF182" s="5"/>
      <c r="AG182" s="5"/>
      <c r="AH182" s="5"/>
      <c r="AI182" s="5"/>
      <c r="AJ182" s="5"/>
      <c r="AK182" s="17"/>
      <c r="AL182" s="5"/>
      <c r="AM182" s="5"/>
      <c r="AN182" s="5"/>
      <c r="AO182" s="5">
        <v>2</v>
      </c>
      <c r="AP182" s="5">
        <v>2</v>
      </c>
      <c r="AQ182" s="5">
        <v>2</v>
      </c>
      <c r="AR182" s="5">
        <v>4</v>
      </c>
      <c r="AS182" s="5"/>
      <c r="AT182" s="5"/>
      <c r="AU182" s="5">
        <v>5</v>
      </c>
      <c r="AV182" s="5">
        <v>2</v>
      </c>
      <c r="AW182" s="5"/>
      <c r="AX182" s="5"/>
      <c r="AY182" s="5"/>
      <c r="AZ182" s="5"/>
      <c r="BA182" s="5"/>
      <c r="BB182" s="5"/>
      <c r="BC182" s="5">
        <f t="shared" si="6"/>
        <v>20</v>
      </c>
      <c r="BD182" s="33" t="s">
        <v>19</v>
      </c>
      <c r="BE182" s="5"/>
    </row>
    <row r="183" spans="1:57" s="8" customFormat="1" ht="11.25">
      <c r="A183" s="26" t="s">
        <v>207</v>
      </c>
      <c r="B183" s="9" t="s">
        <v>126</v>
      </c>
      <c r="C183" s="9" t="s">
        <v>127</v>
      </c>
      <c r="D183" s="20" t="s">
        <v>19</v>
      </c>
      <c r="E183" s="5"/>
      <c r="F183" s="17">
        <v>1</v>
      </c>
      <c r="G183" s="5"/>
      <c r="H183" s="5"/>
      <c r="I183" s="5"/>
      <c r="J183" s="5"/>
      <c r="K183" s="5"/>
      <c r="L183" s="5"/>
      <c r="M183" s="5"/>
      <c r="N183" s="5"/>
      <c r="O183" s="5">
        <v>5</v>
      </c>
      <c r="P183" s="5"/>
      <c r="Q183" s="5"/>
      <c r="R183" s="5"/>
      <c r="S183" s="5"/>
      <c r="T183" s="5"/>
      <c r="U183" s="5">
        <v>1</v>
      </c>
      <c r="V183" s="5"/>
      <c r="W183" s="5"/>
      <c r="X183" s="5"/>
      <c r="Y183" s="5"/>
      <c r="Z183" s="5"/>
      <c r="AA183" s="11"/>
      <c r="AB183" s="5"/>
      <c r="AC183" s="5"/>
      <c r="AD183" s="5"/>
      <c r="AE183" s="5"/>
      <c r="AF183" s="5"/>
      <c r="AG183" s="5"/>
      <c r="AH183" s="5"/>
      <c r="AI183" s="5"/>
      <c r="AJ183" s="5"/>
      <c r="AK183" s="17"/>
      <c r="AL183" s="5"/>
      <c r="AM183" s="5"/>
      <c r="AN183" s="5"/>
      <c r="AO183" s="5"/>
      <c r="AP183" s="5"/>
      <c r="AQ183" s="5"/>
      <c r="AR183" s="5"/>
      <c r="AS183" s="5"/>
      <c r="AT183" s="5"/>
      <c r="AU183" s="5">
        <v>5</v>
      </c>
      <c r="AV183" s="5"/>
      <c r="AW183" s="5"/>
      <c r="AX183" s="5"/>
      <c r="AY183" s="5"/>
      <c r="AZ183" s="5"/>
      <c r="BA183" s="5"/>
      <c r="BB183" s="5"/>
      <c r="BC183" s="5">
        <f aca="true" t="shared" si="7" ref="BC183:BC243">SUM(E183:BB183)</f>
        <v>12</v>
      </c>
      <c r="BD183" s="33" t="s">
        <v>19</v>
      </c>
      <c r="BE183" s="5"/>
    </row>
    <row r="184" spans="1:57" s="8" customFormat="1" ht="11.25">
      <c r="A184" s="26" t="s">
        <v>208</v>
      </c>
      <c r="B184" s="9" t="s">
        <v>114</v>
      </c>
      <c r="C184" s="9" t="s">
        <v>101</v>
      </c>
      <c r="D184" s="20" t="s">
        <v>18</v>
      </c>
      <c r="E184" s="5"/>
      <c r="F184" s="17"/>
      <c r="G184" s="5"/>
      <c r="H184" s="5"/>
      <c r="I184" s="5">
        <v>2</v>
      </c>
      <c r="J184" s="5">
        <v>1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11"/>
      <c r="AB184" s="5"/>
      <c r="AC184" s="5"/>
      <c r="AD184" s="5"/>
      <c r="AE184" s="5"/>
      <c r="AF184" s="5"/>
      <c r="AG184" s="5"/>
      <c r="AH184" s="5"/>
      <c r="AI184" s="5"/>
      <c r="AJ184" s="5"/>
      <c r="AK184" s="17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>
        <f t="shared" si="7"/>
        <v>3</v>
      </c>
      <c r="BD184" s="33" t="s">
        <v>18</v>
      </c>
      <c r="BE184" s="5"/>
    </row>
    <row r="185" spans="1:57" s="8" customFormat="1" ht="11.25">
      <c r="A185" s="26" t="s">
        <v>209</v>
      </c>
      <c r="B185" s="9" t="s">
        <v>75</v>
      </c>
      <c r="C185" s="9" t="s">
        <v>87</v>
      </c>
      <c r="D185" s="20" t="s">
        <v>18</v>
      </c>
      <c r="E185" s="5"/>
      <c r="F185" s="17"/>
      <c r="G185" s="5"/>
      <c r="H185" s="5"/>
      <c r="I185" s="5"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>
        <v>1</v>
      </c>
      <c r="AA185" s="11"/>
      <c r="AB185" s="5"/>
      <c r="AC185" s="5"/>
      <c r="AD185" s="5"/>
      <c r="AE185" s="5"/>
      <c r="AF185" s="5"/>
      <c r="AG185" s="5"/>
      <c r="AH185" s="5"/>
      <c r="AI185" s="5"/>
      <c r="AJ185" s="5"/>
      <c r="AK185" s="17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>
        <f t="shared" si="7"/>
        <v>2</v>
      </c>
      <c r="BD185" s="33" t="s">
        <v>18</v>
      </c>
      <c r="BE185" s="5"/>
    </row>
    <row r="186" spans="1:57" s="8" customFormat="1" ht="11.25">
      <c r="A186" s="26" t="s">
        <v>210</v>
      </c>
      <c r="B186" s="9" t="s">
        <v>75</v>
      </c>
      <c r="C186" s="9" t="s">
        <v>102</v>
      </c>
      <c r="D186" s="20" t="s">
        <v>18</v>
      </c>
      <c r="E186" s="5"/>
      <c r="F186" s="1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>
        <v>1</v>
      </c>
      <c r="AA186" s="11"/>
      <c r="AB186" s="5"/>
      <c r="AC186" s="5"/>
      <c r="AD186" s="5"/>
      <c r="AE186" s="5"/>
      <c r="AF186" s="5"/>
      <c r="AG186" s="5"/>
      <c r="AH186" s="5"/>
      <c r="AI186" s="5"/>
      <c r="AJ186" s="5"/>
      <c r="AK186" s="17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>
        <f t="shared" si="7"/>
        <v>1</v>
      </c>
      <c r="BD186" s="33" t="s">
        <v>18</v>
      </c>
      <c r="BE186" s="5"/>
    </row>
    <row r="187" spans="1:57" s="8" customFormat="1" ht="11.25">
      <c r="A187" s="27" t="s">
        <v>211</v>
      </c>
      <c r="B187" s="8" t="s">
        <v>63</v>
      </c>
      <c r="C187" s="8" t="s">
        <v>62</v>
      </c>
      <c r="D187" s="20" t="s">
        <v>18</v>
      </c>
      <c r="E187" s="5"/>
      <c r="G187" s="5"/>
      <c r="H187" s="5"/>
      <c r="I187" s="5">
        <v>1</v>
      </c>
      <c r="J187" s="5"/>
      <c r="K187" s="5"/>
      <c r="L187" s="5"/>
      <c r="M187" s="5"/>
      <c r="N187" s="5"/>
      <c r="O187" s="5">
        <v>3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11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>
        <v>1</v>
      </c>
      <c r="AT187" s="5">
        <v>1</v>
      </c>
      <c r="AU187" s="5"/>
      <c r="AV187" s="5"/>
      <c r="AW187" s="5"/>
      <c r="AX187" s="5"/>
      <c r="AY187" s="5"/>
      <c r="AZ187" s="5"/>
      <c r="BA187" s="5">
        <v>10</v>
      </c>
      <c r="BB187" s="5"/>
      <c r="BC187" s="5">
        <f t="shared" si="7"/>
        <v>16</v>
      </c>
      <c r="BD187" s="33" t="s">
        <v>18</v>
      </c>
      <c r="BE187" s="5"/>
    </row>
    <row r="188" spans="1:57" s="9" customFormat="1" ht="11.25" hidden="1">
      <c r="A188" s="26"/>
      <c r="B188" s="8" t="s">
        <v>59</v>
      </c>
      <c r="C188" s="8" t="s">
        <v>60</v>
      </c>
      <c r="D188" s="20" t="s">
        <v>18</v>
      </c>
      <c r="E188" s="4"/>
      <c r="F188" s="1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10"/>
      <c r="AB188" s="4"/>
      <c r="AC188" s="4"/>
      <c r="AD188" s="4"/>
      <c r="AE188" s="4"/>
      <c r="AF188" s="4"/>
      <c r="AG188" s="4"/>
      <c r="AH188" s="4"/>
      <c r="AI188" s="4"/>
      <c r="AJ188" s="4"/>
      <c r="AK188" s="17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5">
        <f t="shared" si="7"/>
        <v>0</v>
      </c>
      <c r="BD188" s="33" t="s">
        <v>18</v>
      </c>
      <c r="BE188" s="4"/>
    </row>
    <row r="189" spans="1:57" s="9" customFormat="1" ht="11.25" hidden="1">
      <c r="A189" s="26"/>
      <c r="B189" s="8" t="s">
        <v>59</v>
      </c>
      <c r="C189" s="8" t="s">
        <v>60</v>
      </c>
      <c r="D189" s="20" t="s">
        <v>18</v>
      </c>
      <c r="E189" s="4"/>
      <c r="F189" s="1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10"/>
      <c r="AB189" s="4"/>
      <c r="AC189" s="4"/>
      <c r="AD189" s="4"/>
      <c r="AE189" s="4"/>
      <c r="AF189" s="4"/>
      <c r="AG189" s="4"/>
      <c r="AH189" s="4"/>
      <c r="AI189" s="4"/>
      <c r="AJ189" s="4"/>
      <c r="AK189" s="17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5">
        <f t="shared" si="7"/>
        <v>0</v>
      </c>
      <c r="BD189" s="33" t="s">
        <v>18</v>
      </c>
      <c r="BE189" s="4"/>
    </row>
    <row r="190" spans="1:59" s="9" customFormat="1" ht="11.25" hidden="1">
      <c r="A190" s="26"/>
      <c r="B190" s="8" t="s">
        <v>59</v>
      </c>
      <c r="C190" s="8" t="s">
        <v>60</v>
      </c>
      <c r="D190" s="20" t="s">
        <v>18</v>
      </c>
      <c r="E190" s="4"/>
      <c r="F190" s="1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10"/>
      <c r="AB190" s="4"/>
      <c r="AC190" s="4"/>
      <c r="AD190" s="4"/>
      <c r="AE190" s="4"/>
      <c r="AF190" s="4"/>
      <c r="AG190" s="4"/>
      <c r="AH190" s="4"/>
      <c r="AI190" s="4"/>
      <c r="AJ190" s="4"/>
      <c r="AK190" s="17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5">
        <f t="shared" si="7"/>
        <v>0</v>
      </c>
      <c r="BD190" s="33" t="s">
        <v>18</v>
      </c>
      <c r="BE190" s="4"/>
      <c r="BG190" s="8"/>
    </row>
    <row r="191" spans="1:59" s="8" customFormat="1" ht="11.25" hidden="1">
      <c r="A191" s="26"/>
      <c r="B191" s="8" t="s">
        <v>59</v>
      </c>
      <c r="C191" s="8" t="s">
        <v>60</v>
      </c>
      <c r="D191" s="20" t="s">
        <v>18</v>
      </c>
      <c r="E191" s="5"/>
      <c r="F191" s="1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11"/>
      <c r="AB191" s="5"/>
      <c r="AC191" s="5"/>
      <c r="AD191" s="5"/>
      <c r="AE191" s="5"/>
      <c r="AF191" s="5"/>
      <c r="AG191" s="5"/>
      <c r="AH191" s="5"/>
      <c r="AI191" s="5"/>
      <c r="AJ191" s="5"/>
      <c r="AK191" s="17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>
        <f t="shared" si="7"/>
        <v>0</v>
      </c>
      <c r="BD191" s="33" t="s">
        <v>18</v>
      </c>
      <c r="BE191" s="5"/>
      <c r="BG191" s="9"/>
    </row>
    <row r="192" spans="1:59" s="8" customFormat="1" ht="11.25">
      <c r="A192" s="27" t="s">
        <v>212</v>
      </c>
      <c r="B192" s="8" t="s">
        <v>63</v>
      </c>
      <c r="C192" s="8" t="s">
        <v>129</v>
      </c>
      <c r="D192" s="20" t="s">
        <v>18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5">
        <v>5</v>
      </c>
      <c r="P192" s="5"/>
      <c r="Q192" s="5"/>
      <c r="R192" s="5"/>
      <c r="S192" s="5"/>
      <c r="T192" s="5"/>
      <c r="U192" s="5">
        <v>3</v>
      </c>
      <c r="V192" s="5"/>
      <c r="W192" s="5"/>
      <c r="X192" s="5"/>
      <c r="Y192" s="5"/>
      <c r="Z192" s="5"/>
      <c r="AA192" s="11"/>
      <c r="AB192" s="5"/>
      <c r="AC192" s="5"/>
      <c r="AD192" s="5"/>
      <c r="AE192" s="5"/>
      <c r="AF192" s="5"/>
      <c r="AG192" s="5"/>
      <c r="AH192" s="5"/>
      <c r="AI192" s="5"/>
      <c r="AJ192" s="5"/>
      <c r="AK192" s="17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>
        <f t="shared" si="7"/>
        <v>8</v>
      </c>
      <c r="BD192" s="33" t="s">
        <v>18</v>
      </c>
      <c r="BE192" s="5"/>
      <c r="BG192" s="9"/>
    </row>
    <row r="193" spans="1:59" s="8" customFormat="1" ht="11.25">
      <c r="A193" s="27" t="s">
        <v>213</v>
      </c>
      <c r="B193" s="8" t="s">
        <v>63</v>
      </c>
      <c r="C193" s="8" t="s">
        <v>130</v>
      </c>
      <c r="D193" s="20" t="s">
        <v>18</v>
      </c>
      <c r="E193" s="5"/>
      <c r="F193" s="17"/>
      <c r="G193" s="5"/>
      <c r="H193" s="5">
        <v>5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11"/>
      <c r="AB193" s="5"/>
      <c r="AC193" s="5"/>
      <c r="AD193" s="5"/>
      <c r="AE193" s="5"/>
      <c r="AF193" s="5"/>
      <c r="AG193" s="5"/>
      <c r="AH193" s="5"/>
      <c r="AI193" s="5"/>
      <c r="AJ193" s="5"/>
      <c r="AK193" s="17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>
        <f t="shared" si="7"/>
        <v>5</v>
      </c>
      <c r="BD193" s="33" t="s">
        <v>18</v>
      </c>
      <c r="BE193" s="5"/>
      <c r="BG193" s="9"/>
    </row>
    <row r="194" spans="1:57" s="8" customFormat="1" ht="11.25">
      <c r="A194" s="26" t="s">
        <v>214</v>
      </c>
      <c r="B194" s="9" t="str">
        <f>"RADÍR"</f>
        <v>RADÍR</v>
      </c>
      <c r="C194" s="9" t="str">
        <f>"TIKKY 20"</f>
        <v>TIKKY 20</v>
      </c>
      <c r="D194" s="20" t="s">
        <v>18</v>
      </c>
      <c r="E194" s="5"/>
      <c r="F194" s="17"/>
      <c r="G194" s="5"/>
      <c r="H194" s="5"/>
      <c r="I194" s="5"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>
        <v>1</v>
      </c>
      <c r="V194" s="5"/>
      <c r="W194" s="5">
        <v>1</v>
      </c>
      <c r="X194" s="5">
        <v>3</v>
      </c>
      <c r="Y194" s="5">
        <v>2</v>
      </c>
      <c r="Z194" s="5"/>
      <c r="AA194" s="11"/>
      <c r="AB194" s="5"/>
      <c r="AC194" s="5"/>
      <c r="AD194" s="5"/>
      <c r="AE194" s="5"/>
      <c r="AF194" s="5"/>
      <c r="AG194" s="5"/>
      <c r="AH194" s="5"/>
      <c r="AI194" s="5"/>
      <c r="AJ194" s="5"/>
      <c r="AK194" s="17"/>
      <c r="AL194" s="5"/>
      <c r="AM194" s="5"/>
      <c r="AN194" s="5"/>
      <c r="AO194" s="5">
        <v>1</v>
      </c>
      <c r="AP194" s="5">
        <v>1</v>
      </c>
      <c r="AQ194" s="5">
        <v>1</v>
      </c>
      <c r="AR194" s="5">
        <v>2</v>
      </c>
      <c r="AS194" s="5">
        <v>1</v>
      </c>
      <c r="AT194" s="5">
        <v>1</v>
      </c>
      <c r="AU194" s="5"/>
      <c r="AV194" s="5"/>
      <c r="AW194" s="5"/>
      <c r="AX194" s="5"/>
      <c r="AY194" s="5"/>
      <c r="AZ194" s="5"/>
      <c r="BA194" s="5"/>
      <c r="BB194" s="5"/>
      <c r="BC194" s="5">
        <f t="shared" si="7"/>
        <v>15</v>
      </c>
      <c r="BD194" s="33" t="s">
        <v>18</v>
      </c>
      <c r="BE194" s="5"/>
    </row>
    <row r="195" spans="1:59" s="9" customFormat="1" ht="11.25">
      <c r="A195" s="26" t="s">
        <v>215</v>
      </c>
      <c r="B195" s="9" t="s">
        <v>96</v>
      </c>
      <c r="D195" s="20" t="s">
        <v>18</v>
      </c>
      <c r="E195" s="5">
        <v>5</v>
      </c>
      <c r="F195" s="17"/>
      <c r="G195" s="5"/>
      <c r="H195" s="5"/>
      <c r="I195" s="5">
        <v>2</v>
      </c>
      <c r="J195" s="5">
        <v>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11"/>
      <c r="AB195" s="5"/>
      <c r="AC195" s="5"/>
      <c r="AD195" s="5"/>
      <c r="AE195" s="5"/>
      <c r="AF195" s="5"/>
      <c r="AG195" s="5"/>
      <c r="AH195" s="5"/>
      <c r="AI195" s="5"/>
      <c r="AJ195" s="5"/>
      <c r="AK195" s="17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>
        <v>2</v>
      </c>
      <c r="BB195" s="5"/>
      <c r="BC195" s="5">
        <f t="shared" si="7"/>
        <v>11</v>
      </c>
      <c r="BD195" s="33" t="s">
        <v>18</v>
      </c>
      <c r="BE195" s="4"/>
      <c r="BG195" s="8"/>
    </row>
    <row r="196" spans="1:57" s="8" customFormat="1" ht="11.25" hidden="1">
      <c r="A196" s="26"/>
      <c r="B196" s="9" t="str">
        <f>"TÁBLATŰ"</f>
        <v>TÁBLATŰ</v>
      </c>
      <c r="C196" s="9"/>
      <c r="D196" s="20"/>
      <c r="E196" s="5"/>
      <c r="F196" s="1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11"/>
      <c r="AB196" s="5"/>
      <c r="AC196" s="5"/>
      <c r="AD196" s="5"/>
      <c r="AE196" s="5"/>
      <c r="AF196" s="5"/>
      <c r="AG196" s="5"/>
      <c r="AH196" s="5"/>
      <c r="AI196" s="5"/>
      <c r="AJ196" s="5"/>
      <c r="AK196" s="17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>
        <f t="shared" si="7"/>
        <v>0</v>
      </c>
      <c r="BD196" s="33"/>
      <c r="BE196" s="5"/>
    </row>
    <row r="197" spans="1:57" s="8" customFormat="1" ht="11.25" hidden="1">
      <c r="A197" s="26"/>
      <c r="B197" s="9" t="str">
        <f>"TASAK"</f>
        <v>TASAK</v>
      </c>
      <c r="C197" s="9"/>
      <c r="D197" s="20"/>
      <c r="E197" s="5"/>
      <c r="F197" s="1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11"/>
      <c r="AB197" s="5"/>
      <c r="AC197" s="5"/>
      <c r="AD197" s="5"/>
      <c r="AE197" s="5"/>
      <c r="AF197" s="5"/>
      <c r="AG197" s="5"/>
      <c r="AH197" s="5"/>
      <c r="AI197" s="5"/>
      <c r="AJ197" s="5"/>
      <c r="AK197" s="17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>
        <f t="shared" si="7"/>
        <v>0</v>
      </c>
      <c r="BD197" s="33"/>
      <c r="BE197" s="5"/>
    </row>
    <row r="198" spans="1:57" s="8" customFormat="1" ht="11.25" hidden="1">
      <c r="A198" s="26"/>
      <c r="B198" s="9" t="str">
        <f>"TASAK (CIPZÁRAS)"</f>
        <v>TASAK (CIPZÁRAS)</v>
      </c>
      <c r="C198" s="9" t="str">
        <f>"A/4"</f>
        <v>A/4</v>
      </c>
      <c r="D198" s="20"/>
      <c r="E198" s="5"/>
      <c r="F198" s="1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11"/>
      <c r="AB198" s="5"/>
      <c r="AC198" s="5"/>
      <c r="AD198" s="5"/>
      <c r="AE198" s="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>
        <f t="shared" si="7"/>
        <v>0</v>
      </c>
      <c r="BD198" s="33"/>
      <c r="BE198" s="5"/>
    </row>
    <row r="199" spans="1:59" s="8" customFormat="1" ht="11.25" hidden="1">
      <c r="A199" s="26"/>
      <c r="B199" s="9" t="str">
        <f>"TASAK (CIPZÁRAS)"</f>
        <v>TASAK (CIPZÁRAS)</v>
      </c>
      <c r="C199" s="9" t="str">
        <f>"A/5"</f>
        <v>A/5</v>
      </c>
      <c r="D199" s="20"/>
      <c r="E199" s="5"/>
      <c r="F199" s="1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11"/>
      <c r="AB199" s="5"/>
      <c r="AC199" s="5"/>
      <c r="AD199" s="5"/>
      <c r="AE199" s="5"/>
      <c r="AF199" s="5"/>
      <c r="AG199" s="5"/>
      <c r="AH199" s="5"/>
      <c r="AI199" s="5"/>
      <c r="AJ199" s="5"/>
      <c r="AK199" s="17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>
        <f t="shared" si="7"/>
        <v>0</v>
      </c>
      <c r="BD199" s="33"/>
      <c r="BE199" s="5"/>
      <c r="BG199" s="9"/>
    </row>
    <row r="200" spans="1:59" s="9" customFormat="1" ht="11.25" hidden="1">
      <c r="A200" s="26"/>
      <c r="B200" s="9" t="str">
        <f>"TB NAPTÁR"</f>
        <v>TB NAPTÁR</v>
      </c>
      <c r="D200" s="17"/>
      <c r="E200" s="4"/>
      <c r="F200" s="1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0"/>
      <c r="AB200" s="4"/>
      <c r="AC200" s="4"/>
      <c r="AD200" s="4"/>
      <c r="AE200" s="4"/>
      <c r="AF200" s="4"/>
      <c r="AG200" s="4"/>
      <c r="AH200" s="4"/>
      <c r="AI200" s="4"/>
      <c r="AJ200" s="4"/>
      <c r="AK200" s="17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5">
        <f t="shared" si="7"/>
        <v>0</v>
      </c>
      <c r="BD200" s="32"/>
      <c r="BE200" s="4"/>
      <c r="BG200" s="8"/>
    </row>
    <row r="201" spans="1:57" s="8" customFormat="1" ht="11.25" hidden="1">
      <c r="A201" s="26"/>
      <c r="B201" s="9" t="str">
        <f>"TELEFONBLOKK"</f>
        <v>TELEFONBLOKK</v>
      </c>
      <c r="C201" s="9"/>
      <c r="D201" s="20"/>
      <c r="E201" s="5"/>
      <c r="F201" s="1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11"/>
      <c r="AB201" s="5"/>
      <c r="AC201" s="5"/>
      <c r="AD201" s="5"/>
      <c r="AE201" s="5"/>
      <c r="AF201" s="5"/>
      <c r="AG201" s="5"/>
      <c r="AH201" s="5"/>
      <c r="AI201" s="5"/>
      <c r="AJ201" s="5"/>
      <c r="AK201" s="17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>
        <f t="shared" si="7"/>
        <v>0</v>
      </c>
      <c r="BD201" s="33"/>
      <c r="BE201" s="5"/>
    </row>
    <row r="202" spans="1:57" s="8" customFormat="1" ht="11.25" hidden="1">
      <c r="A202" s="26"/>
      <c r="B202" s="9" t="str">
        <f>"TÉPŐTÖMB (FEHÉR)"</f>
        <v>TÉPŐTÖMB (FEHÉR)</v>
      </c>
      <c r="C202" s="9" t="str">
        <f>"009X009 CM"</f>
        <v>009X009 CM</v>
      </c>
      <c r="D202" s="20"/>
      <c r="E202" s="5"/>
      <c r="F202" s="1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11"/>
      <c r="AB202" s="5"/>
      <c r="AC202" s="5"/>
      <c r="AD202" s="5"/>
      <c r="AE202" s="5"/>
      <c r="AF202" s="5"/>
      <c r="AG202" s="5"/>
      <c r="AH202" s="5"/>
      <c r="AI202" s="5"/>
      <c r="AJ202" s="5"/>
      <c r="AK202" s="17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>
        <f t="shared" si="7"/>
        <v>0</v>
      </c>
      <c r="BD202" s="33"/>
      <c r="BE202" s="5"/>
    </row>
    <row r="203" spans="1:57" s="8" customFormat="1" ht="11.25">
      <c r="A203" s="26" t="s">
        <v>216</v>
      </c>
      <c r="B203" s="9" t="str">
        <f>"RAGASZTÓ STIFT"</f>
        <v>RAGASZTÓ STIFT</v>
      </c>
      <c r="C203" s="9" t="str">
        <f>"STANDARD"</f>
        <v>STANDARD</v>
      </c>
      <c r="D203" s="20" t="s">
        <v>18</v>
      </c>
      <c r="E203" s="4"/>
      <c r="F203" s="17"/>
      <c r="G203" s="4"/>
      <c r="H203" s="4"/>
      <c r="I203" s="4">
        <v>2</v>
      </c>
      <c r="J203" s="4"/>
      <c r="K203" s="4"/>
      <c r="L203" s="4"/>
      <c r="M203" s="4"/>
      <c r="N203" s="4"/>
      <c r="O203" s="4">
        <v>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0"/>
      <c r="AB203" s="4"/>
      <c r="AC203" s="4"/>
      <c r="AD203" s="4"/>
      <c r="AE203" s="4"/>
      <c r="AF203" s="4"/>
      <c r="AG203" s="4"/>
      <c r="AH203" s="4"/>
      <c r="AI203" s="4"/>
      <c r="AJ203" s="4"/>
      <c r="AK203" s="17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5">
        <f t="shared" si="7"/>
        <v>3</v>
      </c>
      <c r="BD203" s="33" t="s">
        <v>18</v>
      </c>
      <c r="BE203" s="5"/>
    </row>
    <row r="204" spans="1:57" s="8" customFormat="1" ht="11.25">
      <c r="A204" s="26" t="s">
        <v>217</v>
      </c>
      <c r="B204" s="9" t="str">
        <f>"RAGASZTÓ SZALAG (CELLUX)"</f>
        <v>RAGASZTÓ SZALAG (CELLUX)</v>
      </c>
      <c r="C204" s="9" t="str">
        <f>"KIS TEKERCS"</f>
        <v>KIS TEKERCS</v>
      </c>
      <c r="D204" s="20" t="s">
        <v>18</v>
      </c>
      <c r="E204" s="5"/>
      <c r="F204" s="17"/>
      <c r="G204" s="5"/>
      <c r="H204" s="5"/>
      <c r="I204" s="5">
        <v>3</v>
      </c>
      <c r="J204" s="5"/>
      <c r="K204" s="5"/>
      <c r="L204" s="5"/>
      <c r="M204" s="5"/>
      <c r="N204" s="5"/>
      <c r="O204" s="5">
        <v>1</v>
      </c>
      <c r="P204" s="5"/>
      <c r="Q204" s="5"/>
      <c r="R204" s="5"/>
      <c r="S204" s="5"/>
      <c r="T204" s="5"/>
      <c r="U204" s="5"/>
      <c r="V204" s="5"/>
      <c r="W204" s="5"/>
      <c r="X204" s="5">
        <v>3</v>
      </c>
      <c r="Y204" s="5"/>
      <c r="Z204" s="5"/>
      <c r="AA204" s="11"/>
      <c r="AB204" s="5"/>
      <c r="AC204" s="5"/>
      <c r="AD204" s="5"/>
      <c r="AE204" s="5"/>
      <c r="AF204" s="5"/>
      <c r="AG204" s="5"/>
      <c r="AH204" s="5"/>
      <c r="AI204" s="5"/>
      <c r="AJ204" s="5"/>
      <c r="AK204" s="17"/>
      <c r="AL204" s="5"/>
      <c r="AM204" s="5"/>
      <c r="AN204" s="5"/>
      <c r="AO204" s="5">
        <v>5</v>
      </c>
      <c r="AP204" s="5">
        <v>5</v>
      </c>
      <c r="AQ204" s="5">
        <v>5</v>
      </c>
      <c r="AR204" s="5">
        <v>5</v>
      </c>
      <c r="AS204" s="5">
        <v>1</v>
      </c>
      <c r="AT204" s="5"/>
      <c r="AU204" s="5"/>
      <c r="AV204" s="5"/>
      <c r="AW204" s="5"/>
      <c r="AX204" s="5"/>
      <c r="AY204" s="5"/>
      <c r="AZ204" s="5"/>
      <c r="BA204" s="5"/>
      <c r="BB204" s="5"/>
      <c r="BC204" s="5">
        <f t="shared" si="7"/>
        <v>28</v>
      </c>
      <c r="BD204" s="33" t="s">
        <v>18</v>
      </c>
      <c r="BE204" s="5"/>
    </row>
    <row r="205" spans="1:57" s="8" customFormat="1" ht="11.25" hidden="1">
      <c r="A205" s="26"/>
      <c r="B205" s="9" t="s">
        <v>13</v>
      </c>
      <c r="C205" s="9" t="str">
        <f>"051X038 MM"</f>
        <v>051X038 MM</v>
      </c>
      <c r="D205" s="20" t="s">
        <v>18</v>
      </c>
      <c r="E205" s="5"/>
      <c r="F205" s="1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11"/>
      <c r="AB205" s="5"/>
      <c r="AC205" s="5"/>
      <c r="AD205" s="5"/>
      <c r="AE205" s="5"/>
      <c r="AF205" s="5"/>
      <c r="AG205" s="5"/>
      <c r="AH205" s="5"/>
      <c r="AI205" s="5"/>
      <c r="AJ205" s="5"/>
      <c r="AK205" s="17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>
        <f t="shared" si="7"/>
        <v>0</v>
      </c>
      <c r="BD205" s="33" t="s">
        <v>18</v>
      </c>
      <c r="BE205" s="5"/>
    </row>
    <row r="206" spans="1:57" s="8" customFormat="1" ht="11.25">
      <c r="A206" s="26" t="s">
        <v>218</v>
      </c>
      <c r="B206" s="9" t="str">
        <f>"RAGASZTÓ SZALAG (CELLUX)"</f>
        <v>RAGASZTÓ SZALAG (CELLUX)</v>
      </c>
      <c r="C206" s="9" t="str">
        <f>"KÖZEPES TEKERCS"</f>
        <v>KÖZEPES TEKERCS</v>
      </c>
      <c r="D206" s="20" t="s">
        <v>18</v>
      </c>
      <c r="E206" s="5"/>
      <c r="F206" s="17">
        <v>1</v>
      </c>
      <c r="G206" s="5"/>
      <c r="H206" s="5">
        <v>20</v>
      </c>
      <c r="I206" s="5"/>
      <c r="J206" s="5"/>
      <c r="K206" s="5"/>
      <c r="L206" s="5">
        <v>10</v>
      </c>
      <c r="M206" s="5"/>
      <c r="N206" s="5"/>
      <c r="O206" s="5">
        <v>1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11"/>
      <c r="AB206" s="5"/>
      <c r="AC206" s="5"/>
      <c r="AD206" s="5"/>
      <c r="AE206" s="5"/>
      <c r="AF206" s="5"/>
      <c r="AG206" s="5"/>
      <c r="AH206" s="5"/>
      <c r="AI206" s="5"/>
      <c r="AJ206" s="5"/>
      <c r="AK206" s="17"/>
      <c r="AL206" s="5"/>
      <c r="AM206" s="5"/>
      <c r="AN206" s="5"/>
      <c r="AO206" s="5"/>
      <c r="AP206" s="5"/>
      <c r="AQ206" s="5"/>
      <c r="AR206" s="5"/>
      <c r="AS206" s="5"/>
      <c r="AT206" s="5">
        <v>1</v>
      </c>
      <c r="AU206" s="5"/>
      <c r="AV206" s="5"/>
      <c r="AW206" s="5"/>
      <c r="AX206" s="5"/>
      <c r="AY206" s="5"/>
      <c r="AZ206" s="5"/>
      <c r="BA206" s="5"/>
      <c r="BB206" s="5"/>
      <c r="BC206" s="5">
        <f t="shared" si="7"/>
        <v>33</v>
      </c>
      <c r="BD206" s="33" t="s">
        <v>18</v>
      </c>
      <c r="BE206" s="5"/>
    </row>
    <row r="207" spans="1:57" s="8" customFormat="1" ht="11.25" hidden="1">
      <c r="A207" s="26"/>
      <c r="B207" s="9" t="s">
        <v>14</v>
      </c>
      <c r="C207" s="9" t="str">
        <f>"127X075 MM"</f>
        <v>127X075 MM</v>
      </c>
      <c r="D207" s="20" t="s">
        <v>18</v>
      </c>
      <c r="E207" s="5"/>
      <c r="F207" s="1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11"/>
      <c r="AB207" s="5"/>
      <c r="AC207" s="5"/>
      <c r="AD207" s="5"/>
      <c r="AE207" s="5"/>
      <c r="AF207" s="5"/>
      <c r="AG207" s="5"/>
      <c r="AH207" s="5"/>
      <c r="AI207" s="5"/>
      <c r="AJ207" s="5"/>
      <c r="AK207" s="17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>
        <f t="shared" si="7"/>
        <v>0</v>
      </c>
      <c r="BD207" s="33" t="s">
        <v>18</v>
      </c>
      <c r="BE207" s="5"/>
    </row>
    <row r="208" spans="1:57" s="8" customFormat="1" ht="11.25" hidden="1">
      <c r="A208" s="26"/>
      <c r="B208" s="9" t="str">
        <f>"TÉPŐTÖMB (SZÍNES-CSAVART)"</f>
        <v>TÉPŐTÖMB (SZÍNES-CSAVART)</v>
      </c>
      <c r="C208" s="9" t="str">
        <f>"010X010 MM"</f>
        <v>010X010 MM</v>
      </c>
      <c r="D208" s="20" t="s">
        <v>18</v>
      </c>
      <c r="E208" s="5"/>
      <c r="F208" s="1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11"/>
      <c r="AB208" s="5"/>
      <c r="AC208" s="5"/>
      <c r="AD208" s="5"/>
      <c r="AE208" s="5"/>
      <c r="AF208" s="5"/>
      <c r="AG208" s="5"/>
      <c r="AH208" s="5"/>
      <c r="AI208" s="5"/>
      <c r="AJ208" s="5"/>
      <c r="AK208" s="17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>
        <f t="shared" si="7"/>
        <v>0</v>
      </c>
      <c r="BD208" s="33" t="s">
        <v>18</v>
      </c>
      <c r="BE208" s="5"/>
    </row>
    <row r="209" spans="1:59" s="8" customFormat="1" ht="11.25" hidden="1">
      <c r="A209" s="26"/>
      <c r="B209" s="9" t="str">
        <f>"TÉRKÉPTŰ"</f>
        <v>TÉRKÉPTŰ</v>
      </c>
      <c r="C209" s="9" t="str">
        <f>"SAKOTA"</f>
        <v>SAKOTA</v>
      </c>
      <c r="D209" s="20" t="s">
        <v>18</v>
      </c>
      <c r="E209" s="5"/>
      <c r="F209" s="1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11"/>
      <c r="AB209" s="5"/>
      <c r="AC209" s="5"/>
      <c r="AD209" s="5"/>
      <c r="AE209" s="5"/>
      <c r="AF209" s="5"/>
      <c r="AG209" s="5"/>
      <c r="AH209" s="5"/>
      <c r="AI209" s="5"/>
      <c r="AJ209" s="5"/>
      <c r="AK209" s="17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>
        <f t="shared" si="7"/>
        <v>0</v>
      </c>
      <c r="BD209" s="33" t="s">
        <v>18</v>
      </c>
      <c r="BE209" s="5"/>
      <c r="BG209" s="9"/>
    </row>
    <row r="210" spans="1:57" s="9" customFormat="1" ht="11.25" hidden="1">
      <c r="A210" s="26"/>
      <c r="B210" s="9" t="str">
        <f>"TÖLTŐTOLL PATRON"</f>
        <v>TÖLTŐTOLL PATRON</v>
      </c>
      <c r="C210" s="9" t="str">
        <f>"PAX"</f>
        <v>PAX</v>
      </c>
      <c r="D210" s="20" t="s">
        <v>18</v>
      </c>
      <c r="E210" s="4"/>
      <c r="F210" s="1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10"/>
      <c r="AB210" s="4"/>
      <c r="AC210" s="4"/>
      <c r="AD210" s="4"/>
      <c r="AE210" s="4"/>
      <c r="AF210" s="4"/>
      <c r="AG210" s="4"/>
      <c r="AH210" s="4"/>
      <c r="AI210" s="4"/>
      <c r="AJ210" s="4"/>
      <c r="AK210" s="17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5">
        <f t="shared" si="7"/>
        <v>0</v>
      </c>
      <c r="BD210" s="33" t="s">
        <v>18</v>
      </c>
      <c r="BE210" s="4"/>
    </row>
    <row r="211" spans="1:59" s="9" customFormat="1" ht="11.25" hidden="1">
      <c r="A211" s="26"/>
      <c r="B211" s="9" t="str">
        <f>"TUSTINTA (ROTRING)"</f>
        <v>TUSTINTA (ROTRING)</v>
      </c>
      <c r="D211" s="20" t="s">
        <v>18</v>
      </c>
      <c r="E211" s="4"/>
      <c r="F211" s="1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10"/>
      <c r="AB211" s="4"/>
      <c r="AC211" s="4"/>
      <c r="AD211" s="4"/>
      <c r="AE211" s="4"/>
      <c r="AF211" s="4"/>
      <c r="AG211" s="4"/>
      <c r="AH211" s="4"/>
      <c r="AI211" s="4"/>
      <c r="AJ211" s="4"/>
      <c r="AK211" s="17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5">
        <f t="shared" si="7"/>
        <v>0</v>
      </c>
      <c r="BD211" s="33" t="s">
        <v>18</v>
      </c>
      <c r="BE211" s="4"/>
      <c r="BG211" s="8"/>
    </row>
    <row r="212" spans="1:57" s="8" customFormat="1" ht="11.25" hidden="1">
      <c r="A212" s="26"/>
      <c r="B212" s="9" t="s">
        <v>15</v>
      </c>
      <c r="C212" s="9" t="str">
        <f>"DELI NO. 0327"</f>
        <v>DELI NO. 0327</v>
      </c>
      <c r="D212" s="20" t="s">
        <v>18</v>
      </c>
      <c r="E212" s="5"/>
      <c r="F212" s="1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11"/>
      <c r="AB212" s="5"/>
      <c r="AC212" s="5"/>
      <c r="AD212" s="5"/>
      <c r="AE212" s="5"/>
      <c r="AF212" s="5"/>
      <c r="AG212" s="5"/>
      <c r="AH212" s="5"/>
      <c r="AI212" s="5"/>
      <c r="AJ212" s="5"/>
      <c r="AK212" s="17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>
        <f t="shared" si="7"/>
        <v>0</v>
      </c>
      <c r="BD212" s="33" t="s">
        <v>18</v>
      </c>
      <c r="BE212" s="5"/>
    </row>
    <row r="213" spans="1:57" s="8" customFormat="1" ht="11.25">
      <c r="A213" s="26" t="s">
        <v>219</v>
      </c>
      <c r="B213" s="9" t="s">
        <v>33</v>
      </c>
      <c r="C213" s="9" t="s">
        <v>34</v>
      </c>
      <c r="D213" s="20" t="s">
        <v>18</v>
      </c>
      <c r="E213" s="5"/>
      <c r="F213" s="17"/>
      <c r="G213" s="5"/>
      <c r="H213" s="5"/>
      <c r="I213" s="5"/>
      <c r="J213" s="5"/>
      <c r="K213" s="5"/>
      <c r="L213" s="5"/>
      <c r="M213" s="5"/>
      <c r="N213" s="5"/>
      <c r="O213" s="5">
        <v>1</v>
      </c>
      <c r="P213" s="5"/>
      <c r="Q213" s="5"/>
      <c r="R213" s="5"/>
      <c r="S213" s="5"/>
      <c r="T213" s="5"/>
      <c r="U213" s="5">
        <v>1</v>
      </c>
      <c r="V213" s="5"/>
      <c r="W213" s="5"/>
      <c r="X213" s="5"/>
      <c r="Y213" s="5"/>
      <c r="Z213" s="5"/>
      <c r="AA213" s="11"/>
      <c r="AB213" s="5"/>
      <c r="AC213" s="5"/>
      <c r="AD213" s="5"/>
      <c r="AE213" s="5"/>
      <c r="AF213" s="5"/>
      <c r="AG213" s="5"/>
      <c r="AH213" s="5"/>
      <c r="AI213" s="5"/>
      <c r="AJ213" s="5"/>
      <c r="AK213" s="17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>
        <f t="shared" si="7"/>
        <v>2</v>
      </c>
      <c r="BD213" s="33" t="s">
        <v>18</v>
      </c>
      <c r="BE213" s="5"/>
    </row>
    <row r="214" spans="1:57" s="8" customFormat="1" ht="11.25">
      <c r="A214" s="26" t="s">
        <v>220</v>
      </c>
      <c r="B214" s="9" t="s">
        <v>81</v>
      </c>
      <c r="C214" s="9" t="s">
        <v>82</v>
      </c>
      <c r="D214" s="20" t="s">
        <v>25</v>
      </c>
      <c r="E214" s="5"/>
      <c r="F214" s="17"/>
      <c r="G214" s="5"/>
      <c r="H214" s="5">
        <v>5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11"/>
      <c r="AB214" s="5"/>
      <c r="AC214" s="5"/>
      <c r="AD214" s="5"/>
      <c r="AE214" s="5"/>
      <c r="AF214" s="5"/>
      <c r="AG214" s="5"/>
      <c r="AH214" s="5"/>
      <c r="AI214" s="5"/>
      <c r="AJ214" s="5"/>
      <c r="AK214" s="17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>
        <f t="shared" si="7"/>
        <v>5</v>
      </c>
      <c r="BD214" s="33" t="s">
        <v>25</v>
      </c>
      <c r="BE214" s="5"/>
    </row>
    <row r="215" spans="1:57" s="8" customFormat="1" ht="11.25" hidden="1">
      <c r="A215" s="26"/>
      <c r="B215" s="9" t="s">
        <v>15</v>
      </c>
      <c r="C215" s="9" t="str">
        <f>"MAPED VIVO"</f>
        <v>MAPED VIVO</v>
      </c>
      <c r="D215" s="20"/>
      <c r="E215" s="5"/>
      <c r="F215" s="1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11"/>
      <c r="AB215" s="5"/>
      <c r="AC215" s="5"/>
      <c r="AD215" s="5"/>
      <c r="AE215" s="5"/>
      <c r="AF215" s="5"/>
      <c r="AG215" s="5"/>
      <c r="AH215" s="5"/>
      <c r="AI215" s="5"/>
      <c r="AJ215" s="5"/>
      <c r="AK215" s="17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>
        <f t="shared" si="7"/>
        <v>0</v>
      </c>
      <c r="BD215" s="33"/>
      <c r="BE215" s="5"/>
    </row>
    <row r="216" spans="1:57" s="8" customFormat="1" ht="11.25" hidden="1">
      <c r="A216" s="26"/>
      <c r="B216" s="9" t="s">
        <v>15</v>
      </c>
      <c r="C216" s="9" t="str">
        <f>"REXEL ACCO"</f>
        <v>REXEL ACCO</v>
      </c>
      <c r="D216" s="20"/>
      <c r="E216" s="5"/>
      <c r="F216" s="1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11"/>
      <c r="AB216" s="5"/>
      <c r="AC216" s="5"/>
      <c r="AD216" s="5"/>
      <c r="AE216" s="5"/>
      <c r="AF216" s="5"/>
      <c r="AG216" s="5"/>
      <c r="AH216" s="5"/>
      <c r="AI216" s="5"/>
      <c r="AJ216" s="5"/>
      <c r="AK216" s="17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>
        <f t="shared" si="7"/>
        <v>0</v>
      </c>
      <c r="BD216" s="33"/>
      <c r="BE216" s="5"/>
    </row>
    <row r="217" spans="1:57" s="8" customFormat="1" ht="11.25" hidden="1">
      <c r="A217" s="26"/>
      <c r="B217" s="9" t="s">
        <v>15</v>
      </c>
      <c r="C217" s="9" t="str">
        <f>"TRAPER"</f>
        <v>TRAPER</v>
      </c>
      <c r="D217" s="20"/>
      <c r="E217" s="5"/>
      <c r="F217" s="1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11"/>
      <c r="AB217" s="5"/>
      <c r="AC217" s="5"/>
      <c r="AD217" s="5"/>
      <c r="AE217" s="5"/>
      <c r="AF217" s="5"/>
      <c r="AG217" s="5"/>
      <c r="AH217" s="5"/>
      <c r="AI217" s="5"/>
      <c r="AJ217" s="5"/>
      <c r="AK217" s="17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>
        <f t="shared" si="7"/>
        <v>0</v>
      </c>
      <c r="BD217" s="33"/>
      <c r="BE217" s="5"/>
    </row>
    <row r="218" spans="1:57" s="8" customFormat="1" ht="11.25" hidden="1">
      <c r="A218" s="26"/>
      <c r="B218" s="9" t="s">
        <v>15</v>
      </c>
      <c r="C218" s="9" t="s">
        <v>16</v>
      </c>
      <c r="D218" s="20"/>
      <c r="E218" s="5"/>
      <c r="F218" s="1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11"/>
      <c r="AB218" s="5"/>
      <c r="AC218" s="5"/>
      <c r="AD218" s="5"/>
      <c r="AE218" s="5"/>
      <c r="AF218" s="5"/>
      <c r="AG218" s="5"/>
      <c r="AH218" s="5"/>
      <c r="AI218" s="5"/>
      <c r="AJ218" s="5"/>
      <c r="AK218" s="17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>
        <f t="shared" si="7"/>
        <v>0</v>
      </c>
      <c r="BD218" s="33"/>
      <c r="BE218" s="5"/>
    </row>
    <row r="219" spans="1:57" s="8" customFormat="1" ht="11.25" hidden="1">
      <c r="A219" s="26"/>
      <c r="B219" s="9" t="s">
        <v>17</v>
      </c>
      <c r="C219" s="9" t="s">
        <v>7</v>
      </c>
      <c r="D219" s="20"/>
      <c r="E219" s="5"/>
      <c r="F219" s="1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11"/>
      <c r="AB219" s="5"/>
      <c r="AC219" s="5"/>
      <c r="AD219" s="5"/>
      <c r="AE219" s="5"/>
      <c r="AF219" s="5"/>
      <c r="AG219" s="5"/>
      <c r="AH219" s="5"/>
      <c r="AI219" s="5"/>
      <c r="AJ219" s="5"/>
      <c r="AK219" s="17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>
        <f t="shared" si="7"/>
        <v>0</v>
      </c>
      <c r="BD219" s="33"/>
      <c r="BE219" s="5"/>
    </row>
    <row r="220" spans="1:57" s="8" customFormat="1" ht="11.25" hidden="1">
      <c r="A220" s="26"/>
      <c r="B220" s="9" t="s">
        <v>23</v>
      </c>
      <c r="C220" s="9" t="str">
        <f>"23/8"</f>
        <v>23/8</v>
      </c>
      <c r="D220" s="20"/>
      <c r="E220" s="5"/>
      <c r="F220" s="1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11"/>
      <c r="AB220" s="5"/>
      <c r="AC220" s="5"/>
      <c r="AD220" s="5"/>
      <c r="AE220" s="5"/>
      <c r="AF220" s="5"/>
      <c r="AG220" s="5"/>
      <c r="AH220" s="5"/>
      <c r="AI220" s="5"/>
      <c r="AJ220" s="5"/>
      <c r="AK220" s="17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>
        <f t="shared" si="7"/>
        <v>0</v>
      </c>
      <c r="BD220" s="33"/>
      <c r="BE220" s="5"/>
    </row>
    <row r="221" spans="1:57" s="8" customFormat="1" ht="11.25" hidden="1">
      <c r="A221" s="26"/>
      <c r="B221" s="9" t="s">
        <v>23</v>
      </c>
      <c r="C221" s="9" t="str">
        <f>"23/13"</f>
        <v>23/13</v>
      </c>
      <c r="D221" s="20"/>
      <c r="E221" s="5"/>
      <c r="F221" s="1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11"/>
      <c r="AB221" s="5"/>
      <c r="AC221" s="5"/>
      <c r="AD221" s="5"/>
      <c r="AE221" s="5"/>
      <c r="AF221" s="5"/>
      <c r="AG221" s="5"/>
      <c r="AH221" s="5"/>
      <c r="AI221" s="5"/>
      <c r="AJ221" s="5"/>
      <c r="AK221" s="17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>
        <f t="shared" si="7"/>
        <v>0</v>
      </c>
      <c r="BD221" s="33"/>
      <c r="BE221" s="5"/>
    </row>
    <row r="222" spans="1:59" s="8" customFormat="1" ht="11.25" hidden="1">
      <c r="A222" s="26"/>
      <c r="B222" s="9" t="s">
        <v>23</v>
      </c>
      <c r="C222" s="15">
        <v>14</v>
      </c>
      <c r="D222" s="20"/>
      <c r="E222" s="5"/>
      <c r="F222" s="1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11"/>
      <c r="AB222" s="5"/>
      <c r="AC222" s="5"/>
      <c r="AD222" s="5"/>
      <c r="AE222" s="5"/>
      <c r="AF222" s="5"/>
      <c r="AG222" s="5"/>
      <c r="AH222" s="5"/>
      <c r="AI222" s="5"/>
      <c r="AJ222" s="5"/>
      <c r="AK222" s="17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>
        <f t="shared" si="7"/>
        <v>0</v>
      </c>
      <c r="BD222" s="33"/>
      <c r="BE222" s="5"/>
      <c r="BG222" s="9"/>
    </row>
    <row r="223" spans="1:57" s="9" customFormat="1" ht="11.25" hidden="1">
      <c r="A223" s="26"/>
      <c r="B223" s="9" t="s">
        <v>23</v>
      </c>
      <c r="D223" s="20"/>
      <c r="E223" s="4"/>
      <c r="F223" s="1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10"/>
      <c r="AB223" s="4"/>
      <c r="AC223" s="4"/>
      <c r="AD223" s="4"/>
      <c r="AE223" s="4"/>
      <c r="AF223" s="4"/>
      <c r="AG223" s="4"/>
      <c r="AH223" s="4"/>
      <c r="AI223" s="4"/>
      <c r="AJ223" s="4"/>
      <c r="AK223" s="17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5">
        <f t="shared" si="7"/>
        <v>0</v>
      </c>
      <c r="BD223" s="33"/>
      <c r="BE223" s="4"/>
    </row>
    <row r="224" spans="1:57" s="9" customFormat="1" ht="11.25" hidden="1">
      <c r="A224" s="26"/>
      <c r="B224" s="9" t="s">
        <v>23</v>
      </c>
      <c r="D224" s="20"/>
      <c r="E224" s="4"/>
      <c r="F224" s="1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10"/>
      <c r="AB224" s="4"/>
      <c r="AC224" s="4"/>
      <c r="AD224" s="4"/>
      <c r="AE224" s="4"/>
      <c r="AF224" s="4"/>
      <c r="AG224" s="4"/>
      <c r="AH224" s="4"/>
      <c r="AI224" s="4"/>
      <c r="AJ224" s="4"/>
      <c r="AK224" s="17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5">
        <f t="shared" si="7"/>
        <v>0</v>
      </c>
      <c r="BD224" s="33"/>
      <c r="BE224" s="4"/>
    </row>
    <row r="225" spans="1:57" s="9" customFormat="1" ht="11.25" hidden="1">
      <c r="A225" s="26"/>
      <c r="B225" s="9" t="s">
        <v>23</v>
      </c>
      <c r="D225" s="20"/>
      <c r="E225" s="4"/>
      <c r="F225" s="1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10"/>
      <c r="AB225" s="4"/>
      <c r="AC225" s="4"/>
      <c r="AD225" s="4"/>
      <c r="AE225" s="4"/>
      <c r="AF225" s="4"/>
      <c r="AG225" s="4"/>
      <c r="AH225" s="4"/>
      <c r="AI225" s="4"/>
      <c r="AJ225" s="4"/>
      <c r="AK225" s="17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5">
        <f t="shared" si="7"/>
        <v>0</v>
      </c>
      <c r="BD225" s="33"/>
      <c r="BE225" s="4"/>
    </row>
    <row r="226" spans="1:57" s="9" customFormat="1" ht="11.25" hidden="1">
      <c r="A226" s="26"/>
      <c r="B226" s="9" t="s">
        <v>23</v>
      </c>
      <c r="C226" s="9" t="str">
        <f>"A/4 25X4"</f>
        <v>A/4 25X4</v>
      </c>
      <c r="D226" s="20"/>
      <c r="E226" s="4"/>
      <c r="F226" s="1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10"/>
      <c r="AB226" s="4"/>
      <c r="AC226" s="4"/>
      <c r="AD226" s="4"/>
      <c r="AE226" s="4"/>
      <c r="AF226" s="4"/>
      <c r="AG226" s="4"/>
      <c r="AH226" s="4"/>
      <c r="AI226" s="4"/>
      <c r="AJ226" s="4"/>
      <c r="AK226" s="17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5">
        <f t="shared" si="7"/>
        <v>0</v>
      </c>
      <c r="BD226" s="33"/>
      <c r="BE226" s="4"/>
    </row>
    <row r="227" spans="1:57" s="9" customFormat="1" ht="11.25" hidden="1">
      <c r="A227" s="26"/>
      <c r="B227" s="9" t="s">
        <v>23</v>
      </c>
      <c r="C227" s="9" t="str">
        <f>"25X2 V.VÁLL 71/V"</f>
        <v>25X2 V.VÁLL 71/V</v>
      </c>
      <c r="D227" s="20"/>
      <c r="E227" s="4"/>
      <c r="F227" s="1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10"/>
      <c r="AB227" s="4"/>
      <c r="AC227" s="4"/>
      <c r="AD227" s="4"/>
      <c r="AE227" s="4"/>
      <c r="AF227" s="4"/>
      <c r="AG227" s="4"/>
      <c r="AH227" s="4"/>
      <c r="AI227" s="4"/>
      <c r="AJ227" s="4"/>
      <c r="AK227" s="17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5">
        <f t="shared" si="7"/>
        <v>0</v>
      </c>
      <c r="BD227" s="33"/>
      <c r="BE227" s="4"/>
    </row>
    <row r="228" spans="1:57" s="9" customFormat="1" ht="11.25" hidden="1">
      <c r="A228" s="26"/>
      <c r="B228" s="9" t="s">
        <v>23</v>
      </c>
      <c r="C228" s="9" t="str">
        <f>"PÁTRIA (C.3337-11)"</f>
        <v>PÁTRIA (C.3337-11)</v>
      </c>
      <c r="D228" s="20"/>
      <c r="E228" s="4"/>
      <c r="F228" s="1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10"/>
      <c r="AB228" s="4"/>
      <c r="AC228" s="4"/>
      <c r="AD228" s="4"/>
      <c r="AE228" s="4"/>
      <c r="AF228" s="4"/>
      <c r="AG228" s="4"/>
      <c r="AH228" s="4"/>
      <c r="AI228" s="4"/>
      <c r="AJ228" s="4"/>
      <c r="AK228" s="17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5">
        <f t="shared" si="7"/>
        <v>0</v>
      </c>
      <c r="BD228" s="33"/>
      <c r="BE228" s="4"/>
    </row>
    <row r="229" spans="1:57" s="9" customFormat="1" ht="11.25" hidden="1">
      <c r="A229" s="26"/>
      <c r="B229" s="9" t="s">
        <v>23</v>
      </c>
      <c r="D229" s="20"/>
      <c r="E229" s="4"/>
      <c r="F229" s="1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10"/>
      <c r="AB229" s="4"/>
      <c r="AC229" s="4"/>
      <c r="AD229" s="4"/>
      <c r="AE229" s="4"/>
      <c r="AF229" s="4"/>
      <c r="AG229" s="4"/>
      <c r="AH229" s="4"/>
      <c r="AI229" s="4"/>
      <c r="AJ229" s="4"/>
      <c r="AK229" s="17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5">
        <f t="shared" si="7"/>
        <v>0</v>
      </c>
      <c r="BD229" s="33"/>
      <c r="BE229" s="4"/>
    </row>
    <row r="230" spans="1:57" s="9" customFormat="1" ht="11.25" hidden="1">
      <c r="A230" s="26"/>
      <c r="B230" s="9" t="s">
        <v>23</v>
      </c>
      <c r="C230" s="9" t="str">
        <f>"A/4"</f>
        <v>A/4</v>
      </c>
      <c r="D230" s="20"/>
      <c r="E230" s="4"/>
      <c r="F230" s="1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10"/>
      <c r="AB230" s="4"/>
      <c r="AC230" s="4"/>
      <c r="AD230" s="4"/>
      <c r="AE230" s="4"/>
      <c r="AF230" s="4"/>
      <c r="AG230" s="4"/>
      <c r="AH230" s="4"/>
      <c r="AI230" s="4"/>
      <c r="AJ230" s="4"/>
      <c r="AK230" s="17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5">
        <f t="shared" si="7"/>
        <v>0</v>
      </c>
      <c r="BD230" s="33"/>
      <c r="BE230" s="4"/>
    </row>
    <row r="231" spans="1:57" s="9" customFormat="1" ht="11.25" hidden="1">
      <c r="A231" s="26"/>
      <c r="B231" s="9" t="s">
        <v>23</v>
      </c>
      <c r="C231" s="9" t="str">
        <f>"DVV.1250/ÚJ A/5"</f>
        <v>DVV.1250/ÚJ A/5</v>
      </c>
      <c r="D231" s="20"/>
      <c r="E231" s="4"/>
      <c r="F231" s="1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10"/>
      <c r="AB231" s="4"/>
      <c r="AC231" s="4"/>
      <c r="AD231" s="4"/>
      <c r="AE231" s="4"/>
      <c r="AF231" s="4"/>
      <c r="AG231" s="4"/>
      <c r="AH231" s="4"/>
      <c r="AI231" s="4"/>
      <c r="AJ231" s="4"/>
      <c r="AK231" s="17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5">
        <f t="shared" si="7"/>
        <v>0</v>
      </c>
      <c r="BD231" s="33"/>
      <c r="BE231" s="4"/>
    </row>
    <row r="232" spans="1:57" s="9" customFormat="1" ht="11.25" hidden="1">
      <c r="A232" s="26"/>
      <c r="B232" s="9" t="s">
        <v>23</v>
      </c>
      <c r="C232" s="9" t="s">
        <v>1</v>
      </c>
      <c r="D232" s="20"/>
      <c r="E232" s="4"/>
      <c r="F232" s="1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10"/>
      <c r="AB232" s="4"/>
      <c r="AC232" s="4"/>
      <c r="AD232" s="4"/>
      <c r="AE232" s="4"/>
      <c r="AF232" s="4"/>
      <c r="AG232" s="4"/>
      <c r="AH232" s="4"/>
      <c r="AI232" s="4"/>
      <c r="AJ232" s="4"/>
      <c r="AK232" s="17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5">
        <f t="shared" si="7"/>
        <v>0</v>
      </c>
      <c r="BD232" s="33"/>
      <c r="BE232" s="4"/>
    </row>
    <row r="233" spans="1:57" s="9" customFormat="1" ht="11.25" hidden="1">
      <c r="A233" s="26"/>
      <c r="B233" s="9" t="s">
        <v>23</v>
      </c>
      <c r="D233" s="20"/>
      <c r="E233" s="4"/>
      <c r="F233" s="1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10"/>
      <c r="AB233" s="4"/>
      <c r="AC233" s="4"/>
      <c r="AD233" s="4"/>
      <c r="AE233" s="4"/>
      <c r="AF233" s="4"/>
      <c r="AG233" s="4"/>
      <c r="AH233" s="4"/>
      <c r="AI233" s="4"/>
      <c r="AJ233" s="4"/>
      <c r="AK233" s="17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5">
        <f t="shared" si="7"/>
        <v>0</v>
      </c>
      <c r="BD233" s="33"/>
      <c r="BE233" s="4"/>
    </row>
    <row r="234" spans="1:57" s="9" customFormat="1" ht="11.25">
      <c r="A234" s="26" t="s">
        <v>221</v>
      </c>
      <c r="B234" s="9" t="s">
        <v>30</v>
      </c>
      <c r="C234" s="9" t="s">
        <v>49</v>
      </c>
      <c r="D234" s="20" t="s">
        <v>18</v>
      </c>
      <c r="E234" s="4"/>
      <c r="F234" s="1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10"/>
      <c r="AB234" s="4"/>
      <c r="AC234" s="4"/>
      <c r="AD234" s="4"/>
      <c r="AE234" s="4"/>
      <c r="AF234" s="4"/>
      <c r="AG234" s="4"/>
      <c r="AH234" s="4"/>
      <c r="AI234" s="4"/>
      <c r="AJ234" s="4"/>
      <c r="AK234" s="17"/>
      <c r="AL234" s="4"/>
      <c r="AM234" s="4"/>
      <c r="AN234" s="4"/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/>
      <c r="AV234" s="4"/>
      <c r="AW234" s="4"/>
      <c r="AX234" s="4"/>
      <c r="AY234" s="4"/>
      <c r="AZ234" s="4"/>
      <c r="BA234" s="4"/>
      <c r="BB234" s="4"/>
      <c r="BC234" s="5">
        <f t="shared" si="7"/>
        <v>6</v>
      </c>
      <c r="BD234" s="33" t="s">
        <v>18</v>
      </c>
      <c r="BE234" s="4"/>
    </row>
    <row r="235" spans="1:57" s="9" customFormat="1" ht="11.25">
      <c r="A235" s="26" t="s">
        <v>222</v>
      </c>
      <c r="B235" s="9" t="s">
        <v>30</v>
      </c>
      <c r="C235" s="9" t="s">
        <v>31</v>
      </c>
      <c r="D235" s="20" t="s">
        <v>18</v>
      </c>
      <c r="E235" s="4"/>
      <c r="F235" s="1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10"/>
      <c r="AB235" s="4"/>
      <c r="AC235" s="4"/>
      <c r="AD235" s="4"/>
      <c r="AE235" s="4"/>
      <c r="AF235" s="4"/>
      <c r="AG235" s="4"/>
      <c r="AH235" s="4"/>
      <c r="AI235" s="4"/>
      <c r="AJ235" s="4"/>
      <c r="AK235" s="17"/>
      <c r="AL235" s="4"/>
      <c r="AM235" s="4"/>
      <c r="AN235" s="4"/>
      <c r="AO235" s="4">
        <v>1</v>
      </c>
      <c r="AP235" s="4">
        <v>1</v>
      </c>
      <c r="AQ235" s="4">
        <v>1</v>
      </c>
      <c r="AR235" s="4">
        <v>1</v>
      </c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5">
        <f t="shared" si="7"/>
        <v>4</v>
      </c>
      <c r="BD235" s="33" t="s">
        <v>18</v>
      </c>
      <c r="BE235" s="4"/>
    </row>
    <row r="236" spans="1:57" s="9" customFormat="1" ht="11.25">
      <c r="A236" s="26" t="s">
        <v>223</v>
      </c>
      <c r="B236" s="9" t="s">
        <v>30</v>
      </c>
      <c r="C236" s="9" t="s">
        <v>118</v>
      </c>
      <c r="D236" s="20" t="s">
        <v>18</v>
      </c>
      <c r="E236" s="4"/>
      <c r="F236" s="1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10"/>
      <c r="AB236" s="4"/>
      <c r="AC236" s="4"/>
      <c r="AD236" s="4"/>
      <c r="AE236" s="4"/>
      <c r="AF236" s="4"/>
      <c r="AG236" s="4"/>
      <c r="AH236" s="4"/>
      <c r="AI236" s="4"/>
      <c r="AJ236" s="4"/>
      <c r="AK236" s="17"/>
      <c r="AL236" s="4"/>
      <c r="AM236" s="4"/>
      <c r="AN236" s="4"/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/>
      <c r="AV236" s="4"/>
      <c r="AW236" s="4"/>
      <c r="AX236" s="4"/>
      <c r="AY236" s="4"/>
      <c r="AZ236" s="4"/>
      <c r="BA236" s="4"/>
      <c r="BB236" s="4"/>
      <c r="BC236" s="5">
        <f t="shared" si="7"/>
        <v>6</v>
      </c>
      <c r="BD236" s="33" t="s">
        <v>18</v>
      </c>
      <c r="BE236" s="4"/>
    </row>
    <row r="237" spans="1:57" s="8" customFormat="1" ht="11.25">
      <c r="A237" s="26" t="s">
        <v>224</v>
      </c>
      <c r="B237" s="9" t="s">
        <v>30</v>
      </c>
      <c r="C237" s="9" t="s">
        <v>78</v>
      </c>
      <c r="D237" s="20" t="s">
        <v>18</v>
      </c>
      <c r="E237" s="5"/>
      <c r="F237" s="1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11"/>
      <c r="AB237" s="5"/>
      <c r="AC237" s="5"/>
      <c r="AD237" s="5"/>
      <c r="AE237" s="5"/>
      <c r="AF237" s="5"/>
      <c r="AG237" s="5"/>
      <c r="AH237" s="5"/>
      <c r="AI237" s="5"/>
      <c r="AJ237" s="5"/>
      <c r="AK237" s="17"/>
      <c r="AL237" s="5"/>
      <c r="AM237" s="5"/>
      <c r="AN237" s="5"/>
      <c r="AO237" s="5">
        <v>1</v>
      </c>
      <c r="AP237" s="5">
        <v>1</v>
      </c>
      <c r="AQ237" s="5">
        <v>1</v>
      </c>
      <c r="AR237" s="5">
        <v>1</v>
      </c>
      <c r="AS237" s="5">
        <v>1</v>
      </c>
      <c r="AT237" s="5">
        <v>1</v>
      </c>
      <c r="AU237" s="5"/>
      <c r="AV237" s="5"/>
      <c r="AW237" s="5"/>
      <c r="AX237" s="5"/>
      <c r="AY237" s="5"/>
      <c r="AZ237" s="5"/>
      <c r="BA237" s="5"/>
      <c r="BB237" s="5"/>
      <c r="BC237" s="5">
        <f t="shared" si="7"/>
        <v>6</v>
      </c>
      <c r="BD237" s="33" t="s">
        <v>18</v>
      </c>
      <c r="BE237" s="5"/>
    </row>
    <row r="238" spans="1:57" s="8" customFormat="1" ht="11.25">
      <c r="A238" s="26" t="s">
        <v>225</v>
      </c>
      <c r="B238" s="9" t="s">
        <v>39</v>
      </c>
      <c r="C238" s="9" t="s">
        <v>41</v>
      </c>
      <c r="D238" s="20" t="s">
        <v>18</v>
      </c>
      <c r="E238" s="5">
        <v>5</v>
      </c>
      <c r="F238" s="1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  <c r="U238" s="4"/>
      <c r="V238" s="5"/>
      <c r="W238" s="4"/>
      <c r="X238" s="4"/>
      <c r="Y238" s="4">
        <v>2</v>
      </c>
      <c r="Z238" s="4"/>
      <c r="AA238" s="10"/>
      <c r="AB238" s="4"/>
      <c r="AC238" s="4"/>
      <c r="AD238" s="4"/>
      <c r="AE238" s="4"/>
      <c r="AF238" s="4"/>
      <c r="AG238" s="4"/>
      <c r="AH238" s="4"/>
      <c r="AI238" s="4"/>
      <c r="AJ238" s="5"/>
      <c r="AK238" s="17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>
        <f t="shared" si="7"/>
        <v>7</v>
      </c>
      <c r="BD238" s="33" t="s">
        <v>18</v>
      </c>
      <c r="BE238" s="5"/>
    </row>
    <row r="239" spans="1:57" s="8" customFormat="1" ht="11.25">
      <c r="A239" s="26" t="s">
        <v>226</v>
      </c>
      <c r="B239" s="9" t="s">
        <v>39</v>
      </c>
      <c r="C239" s="9" t="s">
        <v>42</v>
      </c>
      <c r="D239" s="20" t="s">
        <v>18</v>
      </c>
      <c r="E239" s="5">
        <v>5</v>
      </c>
      <c r="F239" s="1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  <c r="U239" s="4"/>
      <c r="V239" s="5"/>
      <c r="W239" s="4"/>
      <c r="X239" s="4"/>
      <c r="Y239" s="4"/>
      <c r="Z239" s="4"/>
      <c r="AA239" s="10"/>
      <c r="AB239" s="4"/>
      <c r="AC239" s="4"/>
      <c r="AD239" s="4"/>
      <c r="AE239" s="4"/>
      <c r="AF239" s="4"/>
      <c r="AG239" s="4"/>
      <c r="AH239" s="4"/>
      <c r="AI239" s="4"/>
      <c r="AJ239" s="5"/>
      <c r="AK239" s="17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>
        <f t="shared" si="7"/>
        <v>5</v>
      </c>
      <c r="BD239" s="33" t="s">
        <v>18</v>
      </c>
      <c r="BE239" s="5"/>
    </row>
    <row r="240" spans="1:57" s="8" customFormat="1" ht="11.25">
      <c r="A240" s="26" t="s">
        <v>227</v>
      </c>
      <c r="B240" s="9" t="s">
        <v>39</v>
      </c>
      <c r="C240" s="9" t="s">
        <v>40</v>
      </c>
      <c r="D240" s="20" t="s">
        <v>18</v>
      </c>
      <c r="E240" s="5">
        <v>5</v>
      </c>
      <c r="F240" s="1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>
        <v>1</v>
      </c>
      <c r="X240" s="5"/>
      <c r="Y240" s="5"/>
      <c r="Z240" s="5"/>
      <c r="AA240" s="11"/>
      <c r="AB240" s="5"/>
      <c r="AC240" s="5"/>
      <c r="AD240" s="5"/>
      <c r="AE240" s="5"/>
      <c r="AF240" s="5"/>
      <c r="AG240" s="5"/>
      <c r="AH240" s="5"/>
      <c r="AI240" s="5"/>
      <c r="AJ240" s="5"/>
      <c r="AK240" s="17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>
        <f t="shared" si="7"/>
        <v>6</v>
      </c>
      <c r="BD240" s="33" t="s">
        <v>18</v>
      </c>
      <c r="BE240" s="5"/>
    </row>
    <row r="241" spans="1:57" s="9" customFormat="1" ht="11.25">
      <c r="A241" s="26" t="s">
        <v>228</v>
      </c>
      <c r="B241" s="21" t="s">
        <v>2</v>
      </c>
      <c r="C241" s="9" t="s">
        <v>3</v>
      </c>
      <c r="D241" s="20" t="s">
        <v>18</v>
      </c>
      <c r="E241" s="4">
        <v>5</v>
      </c>
      <c r="F241" s="17">
        <v>1</v>
      </c>
      <c r="G241" s="4">
        <v>5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>
        <v>1</v>
      </c>
      <c r="Z241" s="4"/>
      <c r="AA241" s="10"/>
      <c r="AB241" s="4"/>
      <c r="AC241" s="4"/>
      <c r="AD241" s="4"/>
      <c r="AE241" s="4"/>
      <c r="AF241" s="4"/>
      <c r="AG241" s="4"/>
      <c r="AH241" s="4"/>
      <c r="AI241" s="4"/>
      <c r="AJ241" s="4"/>
      <c r="AK241" s="17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5">
        <f t="shared" si="7"/>
        <v>12</v>
      </c>
      <c r="BD241" s="33" t="s">
        <v>18</v>
      </c>
      <c r="BE241" s="4"/>
    </row>
    <row r="242" spans="1:57" s="9" customFormat="1" ht="11.25">
      <c r="A242" s="26" t="s">
        <v>229</v>
      </c>
      <c r="B242" s="9" t="s">
        <v>2</v>
      </c>
      <c r="C242" s="9" t="s">
        <v>5</v>
      </c>
      <c r="D242" s="20" t="s">
        <v>18</v>
      </c>
      <c r="E242" s="4">
        <v>5</v>
      </c>
      <c r="F242" s="1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10"/>
      <c r="AB242" s="4"/>
      <c r="AC242" s="4"/>
      <c r="AD242" s="4"/>
      <c r="AE242" s="4"/>
      <c r="AF242" s="4"/>
      <c r="AG242" s="4"/>
      <c r="AH242" s="4"/>
      <c r="AI242" s="4"/>
      <c r="AJ242" s="4"/>
      <c r="AK242" s="17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5">
        <f t="shared" si="7"/>
        <v>5</v>
      </c>
      <c r="BD242" s="33" t="s">
        <v>18</v>
      </c>
      <c r="BE242" s="4"/>
    </row>
    <row r="243" spans="1:57" s="9" customFormat="1" ht="11.25">
      <c r="A243" s="26" t="s">
        <v>230</v>
      </c>
      <c r="B243" s="9" t="s">
        <v>2</v>
      </c>
      <c r="C243" s="9" t="s">
        <v>119</v>
      </c>
      <c r="D243" s="20" t="s">
        <v>18</v>
      </c>
      <c r="E243" s="4">
        <v>5</v>
      </c>
      <c r="F243" s="1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10"/>
      <c r="AB243" s="4"/>
      <c r="AC243" s="4"/>
      <c r="AD243" s="4"/>
      <c r="AE243" s="4"/>
      <c r="AF243" s="4"/>
      <c r="AG243" s="4"/>
      <c r="AH243" s="4"/>
      <c r="AI243" s="4"/>
      <c r="AJ243" s="4"/>
      <c r="AK243" s="17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5">
        <f t="shared" si="7"/>
        <v>5</v>
      </c>
      <c r="BD243" s="33" t="s">
        <v>18</v>
      </c>
      <c r="BE243" s="4"/>
    </row>
    <row r="244" spans="1:57" s="9" customFormat="1" ht="11.25">
      <c r="A244" s="26" t="s">
        <v>231</v>
      </c>
      <c r="B244" s="9" t="s">
        <v>2</v>
      </c>
      <c r="C244" s="9" t="s">
        <v>142</v>
      </c>
      <c r="D244" s="20" t="s">
        <v>18</v>
      </c>
      <c r="E244" s="4"/>
      <c r="F244" s="1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10"/>
      <c r="AB244" s="4"/>
      <c r="AC244" s="4"/>
      <c r="AD244" s="4"/>
      <c r="AE244" s="4"/>
      <c r="AF244" s="4"/>
      <c r="AG244" s="4"/>
      <c r="AH244" s="4"/>
      <c r="AI244" s="4"/>
      <c r="AJ244" s="4"/>
      <c r="AK244" s="17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>
        <v>6</v>
      </c>
      <c r="BB244" s="4"/>
      <c r="BC244" s="5">
        <f aca="true" t="shared" si="8" ref="BC244:BC265">SUM(E244:BB244)</f>
        <v>6</v>
      </c>
      <c r="BD244" s="33" t="s">
        <v>18</v>
      </c>
      <c r="BE244" s="4"/>
    </row>
    <row r="245" spans="1:57" s="9" customFormat="1" ht="11.25">
      <c r="A245" s="26" t="s">
        <v>232</v>
      </c>
      <c r="B245" s="9" t="s">
        <v>2</v>
      </c>
      <c r="C245" s="9" t="s">
        <v>53</v>
      </c>
      <c r="D245" s="20" t="s">
        <v>18</v>
      </c>
      <c r="E245" s="4"/>
      <c r="F245" s="1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10"/>
      <c r="AB245" s="4"/>
      <c r="AC245" s="4"/>
      <c r="AD245" s="4"/>
      <c r="AE245" s="4"/>
      <c r="AF245" s="4"/>
      <c r="AG245" s="4"/>
      <c r="AH245" s="4"/>
      <c r="AI245" s="4"/>
      <c r="AJ245" s="4"/>
      <c r="AK245" s="17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>
        <v>6</v>
      </c>
      <c r="BB245" s="4"/>
      <c r="BC245" s="5">
        <f t="shared" si="8"/>
        <v>6</v>
      </c>
      <c r="BD245" s="33" t="s">
        <v>18</v>
      </c>
      <c r="BE245" s="4"/>
    </row>
    <row r="246" spans="1:57" s="9" customFormat="1" ht="11.25">
      <c r="A246" s="26" t="s">
        <v>233</v>
      </c>
      <c r="B246" s="9" t="s">
        <v>77</v>
      </c>
      <c r="D246" s="20" t="s">
        <v>18</v>
      </c>
      <c r="E246" s="4"/>
      <c r="F246" s="17">
        <v>10</v>
      </c>
      <c r="G246" s="4"/>
      <c r="H246" s="4"/>
      <c r="I246" s="4"/>
      <c r="J246" s="4"/>
      <c r="K246" s="4"/>
      <c r="L246" s="4"/>
      <c r="M246" s="4"/>
      <c r="N246" s="4"/>
      <c r="O246" s="4">
        <v>10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10"/>
      <c r="AB246" s="4"/>
      <c r="AC246" s="4"/>
      <c r="AD246" s="4"/>
      <c r="AE246" s="4"/>
      <c r="AF246" s="4"/>
      <c r="AG246" s="4"/>
      <c r="AH246" s="4"/>
      <c r="AI246" s="4"/>
      <c r="AJ246" s="4"/>
      <c r="AK246" s="17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5">
        <f t="shared" si="8"/>
        <v>20</v>
      </c>
      <c r="BD246" s="33" t="s">
        <v>18</v>
      </c>
      <c r="BE246" s="4"/>
    </row>
    <row r="247" spans="1:57" s="9" customFormat="1" ht="11.25">
      <c r="A247" s="26" t="s">
        <v>234</v>
      </c>
      <c r="B247" s="9" t="s">
        <v>65</v>
      </c>
      <c r="C247" s="9" t="s">
        <v>9</v>
      </c>
      <c r="D247" s="20" t="s">
        <v>18</v>
      </c>
      <c r="E247" s="4"/>
      <c r="F247" s="17"/>
      <c r="G247" s="4">
        <v>1</v>
      </c>
      <c r="H247" s="4"/>
      <c r="I247" s="4"/>
      <c r="J247" s="4"/>
      <c r="K247" s="4"/>
      <c r="L247" s="4"/>
      <c r="M247" s="4"/>
      <c r="N247" s="4"/>
      <c r="O247" s="4">
        <v>1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>
        <v>1</v>
      </c>
      <c r="AA247" s="10"/>
      <c r="AB247" s="4"/>
      <c r="AC247" s="4"/>
      <c r="AD247" s="4"/>
      <c r="AE247" s="4"/>
      <c r="AF247" s="4"/>
      <c r="AG247" s="4"/>
      <c r="AH247" s="4"/>
      <c r="AI247" s="4"/>
      <c r="AJ247" s="4"/>
      <c r="AK247" s="17"/>
      <c r="AL247" s="4"/>
      <c r="AM247" s="4"/>
      <c r="AN247" s="4"/>
      <c r="AO247" s="4">
        <v>1</v>
      </c>
      <c r="AP247" s="4">
        <v>1</v>
      </c>
      <c r="AQ247" s="4">
        <v>1</v>
      </c>
      <c r="AR247" s="4">
        <v>1</v>
      </c>
      <c r="AS247" s="4"/>
      <c r="AT247" s="4"/>
      <c r="AU247" s="4"/>
      <c r="AV247" s="4"/>
      <c r="AW247" s="4"/>
      <c r="AX247" s="4"/>
      <c r="AY247" s="4"/>
      <c r="AZ247" s="4"/>
      <c r="BA247" s="4">
        <v>2</v>
      </c>
      <c r="BB247" s="4"/>
      <c r="BC247" s="5">
        <f t="shared" si="8"/>
        <v>9</v>
      </c>
      <c r="BD247" s="33" t="s">
        <v>18</v>
      </c>
      <c r="BE247" s="4"/>
    </row>
    <row r="248" spans="1:59" s="9" customFormat="1" ht="11.25">
      <c r="A248" s="26" t="s">
        <v>235</v>
      </c>
      <c r="B248" s="9" t="s">
        <v>65</v>
      </c>
      <c r="C248" s="9" t="s">
        <v>10</v>
      </c>
      <c r="D248" s="20" t="s">
        <v>18</v>
      </c>
      <c r="E248" s="4"/>
      <c r="F248" s="1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>
        <v>1</v>
      </c>
      <c r="S248" s="4"/>
      <c r="T248" s="4"/>
      <c r="U248" s="4">
        <v>1</v>
      </c>
      <c r="V248" s="4"/>
      <c r="W248" s="4"/>
      <c r="X248" s="4">
        <v>1</v>
      </c>
      <c r="Y248" s="4"/>
      <c r="Z248" s="4"/>
      <c r="AA248" s="10"/>
      <c r="AB248" s="4"/>
      <c r="AC248" s="4"/>
      <c r="AD248" s="4"/>
      <c r="AE248" s="4"/>
      <c r="AF248" s="4"/>
      <c r="AG248" s="4"/>
      <c r="AH248" s="4"/>
      <c r="AI248" s="4"/>
      <c r="AJ248" s="4"/>
      <c r="AK248" s="17"/>
      <c r="AL248" s="4"/>
      <c r="AM248" s="4"/>
      <c r="AN248" s="4"/>
      <c r="AO248" s="4">
        <v>1</v>
      </c>
      <c r="AP248" s="4">
        <v>1</v>
      </c>
      <c r="AQ248" s="4">
        <v>1</v>
      </c>
      <c r="AR248" s="4">
        <v>1</v>
      </c>
      <c r="AS248" s="4"/>
      <c r="AT248" s="4"/>
      <c r="AU248" s="4"/>
      <c r="AV248" s="4"/>
      <c r="AW248" s="4"/>
      <c r="AX248" s="4"/>
      <c r="AY248" s="4"/>
      <c r="AZ248" s="4"/>
      <c r="BA248" s="4">
        <v>2</v>
      </c>
      <c r="BB248" s="4"/>
      <c r="BC248" s="5">
        <f t="shared" si="8"/>
        <v>9</v>
      </c>
      <c r="BD248" s="33" t="s">
        <v>18</v>
      </c>
      <c r="BE248" s="4"/>
      <c r="BG248" s="8"/>
    </row>
    <row r="249" spans="1:57" s="9" customFormat="1" ht="11.25">
      <c r="A249" s="26" t="s">
        <v>236</v>
      </c>
      <c r="B249" s="9" t="s">
        <v>65</v>
      </c>
      <c r="C249" s="9" t="s">
        <v>8</v>
      </c>
      <c r="D249" s="20" t="s">
        <v>18</v>
      </c>
      <c r="E249" s="4"/>
      <c r="F249" s="17">
        <v>2</v>
      </c>
      <c r="G249" s="4">
        <v>1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>
        <v>1</v>
      </c>
      <c r="S249" s="4"/>
      <c r="T249" s="4"/>
      <c r="U249" s="4">
        <v>1</v>
      </c>
      <c r="V249" s="4"/>
      <c r="W249" s="4"/>
      <c r="X249" s="4">
        <v>1</v>
      </c>
      <c r="Y249" s="4"/>
      <c r="Z249" s="4"/>
      <c r="AA249" s="10"/>
      <c r="AB249" s="4"/>
      <c r="AC249" s="4"/>
      <c r="AD249" s="4"/>
      <c r="AE249" s="4"/>
      <c r="AF249" s="4"/>
      <c r="AG249" s="4"/>
      <c r="AH249" s="4"/>
      <c r="AI249" s="4"/>
      <c r="AJ249" s="4"/>
      <c r="AK249" s="17"/>
      <c r="AL249" s="4"/>
      <c r="AM249" s="4"/>
      <c r="AN249" s="4"/>
      <c r="AO249" s="4">
        <v>1</v>
      </c>
      <c r="AP249" s="4">
        <v>1</v>
      </c>
      <c r="AQ249" s="4">
        <v>1</v>
      </c>
      <c r="AR249" s="4">
        <v>1</v>
      </c>
      <c r="AS249" s="4"/>
      <c r="AT249" s="4"/>
      <c r="AU249" s="4"/>
      <c r="AV249" s="4">
        <v>2</v>
      </c>
      <c r="AW249" s="4"/>
      <c r="AX249" s="4"/>
      <c r="AY249" s="4"/>
      <c r="AZ249" s="4"/>
      <c r="BA249" s="4">
        <v>2</v>
      </c>
      <c r="BB249" s="4"/>
      <c r="BC249" s="5">
        <f t="shared" si="8"/>
        <v>14</v>
      </c>
      <c r="BD249" s="33" t="s">
        <v>18</v>
      </c>
      <c r="BE249" s="4"/>
    </row>
    <row r="250" spans="1:57" s="9" customFormat="1" ht="11.25">
      <c r="A250" s="26" t="s">
        <v>237</v>
      </c>
      <c r="B250" s="9" t="s">
        <v>65</v>
      </c>
      <c r="C250" s="9" t="s">
        <v>128</v>
      </c>
      <c r="D250" s="20" t="s">
        <v>18</v>
      </c>
      <c r="E250" s="4"/>
      <c r="F250" s="17"/>
      <c r="G250" s="4"/>
      <c r="H250" s="4"/>
      <c r="I250" s="4"/>
      <c r="J250" s="4"/>
      <c r="K250" s="4"/>
      <c r="L250" s="4"/>
      <c r="M250" s="4"/>
      <c r="N250" s="4"/>
      <c r="O250" s="4">
        <v>1</v>
      </c>
      <c r="P250" s="4"/>
      <c r="Q250" s="4"/>
      <c r="R250" s="4"/>
      <c r="S250" s="4"/>
      <c r="T250" s="4"/>
      <c r="U250" s="4">
        <v>1</v>
      </c>
      <c r="V250" s="4"/>
      <c r="W250" s="4"/>
      <c r="X250" s="4"/>
      <c r="Y250" s="4"/>
      <c r="Z250" s="4"/>
      <c r="AA250" s="10"/>
      <c r="AB250" s="4"/>
      <c r="AC250" s="4"/>
      <c r="AD250" s="4"/>
      <c r="AE250" s="4"/>
      <c r="AF250" s="4"/>
      <c r="AG250" s="4"/>
      <c r="AH250" s="4"/>
      <c r="AI250" s="4"/>
      <c r="AJ250" s="4"/>
      <c r="AK250" s="17"/>
      <c r="AL250" s="4"/>
      <c r="AM250" s="4"/>
      <c r="AN250" s="4"/>
      <c r="AO250" s="4">
        <v>1</v>
      </c>
      <c r="AP250" s="4">
        <v>1</v>
      </c>
      <c r="AQ250" s="4">
        <v>1</v>
      </c>
      <c r="AR250" s="4">
        <v>1</v>
      </c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5">
        <f t="shared" si="8"/>
        <v>6</v>
      </c>
      <c r="BD250" s="33" t="s">
        <v>18</v>
      </c>
      <c r="BE250" s="4"/>
    </row>
    <row r="251" spans="1:57" s="8" customFormat="1" ht="11.25">
      <c r="A251" s="26" t="s">
        <v>238</v>
      </c>
      <c r="B251" s="9" t="s">
        <v>65</v>
      </c>
      <c r="C251" s="9" t="s">
        <v>97</v>
      </c>
      <c r="D251" s="20" t="s">
        <v>18</v>
      </c>
      <c r="E251" s="4"/>
      <c r="F251" s="17"/>
      <c r="G251" s="4">
        <v>1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10"/>
      <c r="AB251" s="4"/>
      <c r="AC251" s="4"/>
      <c r="AD251" s="4"/>
      <c r="AE251" s="4"/>
      <c r="AF251" s="4"/>
      <c r="AG251" s="4"/>
      <c r="AH251" s="4"/>
      <c r="AI251" s="4"/>
      <c r="AJ251" s="4"/>
      <c r="AK251" s="17"/>
      <c r="AL251" s="4"/>
      <c r="AM251" s="4"/>
      <c r="AN251" s="4"/>
      <c r="AO251" s="4">
        <v>1</v>
      </c>
      <c r="AP251" s="4">
        <v>1</v>
      </c>
      <c r="AQ251" s="4">
        <v>1</v>
      </c>
      <c r="AR251" s="4">
        <v>1</v>
      </c>
      <c r="AS251" s="4"/>
      <c r="AT251" s="4"/>
      <c r="AU251" s="4"/>
      <c r="AV251" s="4"/>
      <c r="AW251" s="4"/>
      <c r="AX251" s="4"/>
      <c r="AY251" s="4"/>
      <c r="AZ251" s="4"/>
      <c r="BA251" s="4">
        <v>2</v>
      </c>
      <c r="BB251" s="4"/>
      <c r="BC251" s="5">
        <f t="shared" si="8"/>
        <v>7</v>
      </c>
      <c r="BD251" s="33" t="s">
        <v>18</v>
      </c>
      <c r="BE251" s="5"/>
    </row>
    <row r="252" spans="1:57" s="8" customFormat="1" ht="11.25">
      <c r="A252" s="26" t="s">
        <v>239</v>
      </c>
      <c r="B252" s="9" t="s">
        <v>137</v>
      </c>
      <c r="C252" s="9" t="str">
        <f>"100X100 MM"</f>
        <v>100X100 MM</v>
      </c>
      <c r="D252" s="20" t="s">
        <v>18</v>
      </c>
      <c r="E252" s="5"/>
      <c r="F252" s="17">
        <v>1</v>
      </c>
      <c r="G252" s="5">
        <v>2</v>
      </c>
      <c r="H252" s="5">
        <v>20</v>
      </c>
      <c r="I252" s="5">
        <v>2</v>
      </c>
      <c r="J252" s="5">
        <v>2</v>
      </c>
      <c r="K252" s="5"/>
      <c r="L252" s="5"/>
      <c r="M252" s="5"/>
      <c r="N252" s="5"/>
      <c r="O252" s="5">
        <v>5</v>
      </c>
      <c r="P252" s="5"/>
      <c r="Q252" s="5"/>
      <c r="R252" s="5">
        <v>2</v>
      </c>
      <c r="S252" s="5"/>
      <c r="T252" s="5"/>
      <c r="U252" s="5">
        <v>1</v>
      </c>
      <c r="V252" s="5">
        <v>1</v>
      </c>
      <c r="W252" s="5"/>
      <c r="X252" s="5"/>
      <c r="Y252" s="5"/>
      <c r="Z252" s="5">
        <v>1</v>
      </c>
      <c r="AA252" s="11"/>
      <c r="AB252" s="5"/>
      <c r="AC252" s="5"/>
      <c r="AD252" s="5"/>
      <c r="AE252" s="5"/>
      <c r="AF252" s="5"/>
      <c r="AG252" s="5"/>
      <c r="AH252" s="5"/>
      <c r="AI252" s="5"/>
      <c r="AJ252" s="5"/>
      <c r="AK252" s="17"/>
      <c r="AL252" s="5"/>
      <c r="AM252" s="5"/>
      <c r="AN252" s="5"/>
      <c r="AO252" s="5">
        <v>2</v>
      </c>
      <c r="AP252" s="5">
        <v>2</v>
      </c>
      <c r="AQ252" s="5">
        <v>2</v>
      </c>
      <c r="AR252" s="5">
        <v>2</v>
      </c>
      <c r="AS252" s="5"/>
      <c r="AT252" s="5"/>
      <c r="AU252" s="5"/>
      <c r="AV252" s="5"/>
      <c r="AW252" s="5"/>
      <c r="AX252" s="5"/>
      <c r="AY252" s="5"/>
      <c r="AZ252" s="5"/>
      <c r="BA252" s="5">
        <v>2</v>
      </c>
      <c r="BB252" s="5"/>
      <c r="BC252" s="5">
        <f t="shared" si="8"/>
        <v>47</v>
      </c>
      <c r="BD252" s="33" t="s">
        <v>18</v>
      </c>
      <c r="BE252" s="5"/>
    </row>
    <row r="253" spans="1:57" s="8" customFormat="1" ht="11.25">
      <c r="A253" s="26" t="s">
        <v>240</v>
      </c>
      <c r="B253" s="9" t="s">
        <v>13</v>
      </c>
      <c r="C253" s="9" t="str">
        <f>"050X040 MM"</f>
        <v>050X040 MM</v>
      </c>
      <c r="D253" s="20" t="s">
        <v>18</v>
      </c>
      <c r="E253" s="5"/>
      <c r="F253" s="17"/>
      <c r="G253" s="5"/>
      <c r="H253" s="5"/>
      <c r="I253" s="5"/>
      <c r="J253" s="5"/>
      <c r="K253" s="5"/>
      <c r="L253" s="5"/>
      <c r="M253" s="5"/>
      <c r="N253" s="5"/>
      <c r="O253" s="5">
        <v>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11"/>
      <c r="AB253" s="5"/>
      <c r="AC253" s="5"/>
      <c r="AD253" s="5"/>
      <c r="AE253" s="5"/>
      <c r="AF253" s="5"/>
      <c r="AG253" s="5"/>
      <c r="AH253" s="5"/>
      <c r="AI253" s="5"/>
      <c r="AJ253" s="5"/>
      <c r="AK253" s="17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>
        <f t="shared" si="8"/>
        <v>5</v>
      </c>
      <c r="BD253" s="33" t="s">
        <v>18</v>
      </c>
      <c r="BE253" s="5"/>
    </row>
    <row r="254" spans="1:57" s="8" customFormat="1" ht="11.25">
      <c r="A254" s="26" t="s">
        <v>241</v>
      </c>
      <c r="B254" s="9" t="s">
        <v>13</v>
      </c>
      <c r="C254" s="9" t="str">
        <f>"075X075 MM"</f>
        <v>075X075 MM</v>
      </c>
      <c r="D254" s="20" t="s">
        <v>18</v>
      </c>
      <c r="E254" s="5"/>
      <c r="F254" s="17"/>
      <c r="G254" s="5"/>
      <c r="H254" s="5"/>
      <c r="I254" s="5"/>
      <c r="J254" s="5"/>
      <c r="K254" s="5"/>
      <c r="L254" s="5"/>
      <c r="M254" s="5"/>
      <c r="N254" s="5"/>
      <c r="O254" s="5">
        <v>5</v>
      </c>
      <c r="P254" s="5"/>
      <c r="Q254" s="5"/>
      <c r="R254" s="5"/>
      <c r="S254" s="5"/>
      <c r="T254" s="5"/>
      <c r="U254" s="5">
        <v>1</v>
      </c>
      <c r="V254" s="5"/>
      <c r="W254" s="5"/>
      <c r="X254" s="5"/>
      <c r="Y254" s="5"/>
      <c r="Z254" s="5"/>
      <c r="AA254" s="11"/>
      <c r="AB254" s="5"/>
      <c r="AC254" s="5"/>
      <c r="AD254" s="5"/>
      <c r="AE254" s="5"/>
      <c r="AF254" s="5"/>
      <c r="AG254" s="5"/>
      <c r="AH254" s="5"/>
      <c r="AI254" s="5"/>
      <c r="AJ254" s="5"/>
      <c r="AK254" s="17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>
        <f t="shared" si="8"/>
        <v>6</v>
      </c>
      <c r="BD254" s="33" t="s">
        <v>18</v>
      </c>
      <c r="BE254" s="5"/>
    </row>
    <row r="255" spans="1:57" s="8" customFormat="1" ht="11.25">
      <c r="A255" s="26" t="s">
        <v>242</v>
      </c>
      <c r="B255" s="9" t="s">
        <v>14</v>
      </c>
      <c r="C255" s="9" t="s">
        <v>45</v>
      </c>
      <c r="D255" s="20" t="s">
        <v>18</v>
      </c>
      <c r="E255" s="5"/>
      <c r="F255" s="1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>
        <v>1</v>
      </c>
      <c r="V255" s="5"/>
      <c r="W255" s="5"/>
      <c r="X255" s="5"/>
      <c r="Y255" s="5"/>
      <c r="Z255" s="5"/>
      <c r="AA255" s="11"/>
      <c r="AB255" s="5"/>
      <c r="AC255" s="5"/>
      <c r="AD255" s="5"/>
      <c r="AE255" s="5"/>
      <c r="AF255" s="5"/>
      <c r="AG255" s="5"/>
      <c r="AH255" s="5"/>
      <c r="AI255" s="5"/>
      <c r="AJ255" s="5"/>
      <c r="AK255" s="17"/>
      <c r="AL255" s="5"/>
      <c r="AM255" s="5"/>
      <c r="AN255" s="5"/>
      <c r="AO255" s="5">
        <v>1</v>
      </c>
      <c r="AP255" s="5">
        <v>1</v>
      </c>
      <c r="AQ255" s="5">
        <v>1</v>
      </c>
      <c r="AR255" s="5">
        <v>1</v>
      </c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>
        <f t="shared" si="8"/>
        <v>5</v>
      </c>
      <c r="BD255" s="33" t="s">
        <v>18</v>
      </c>
      <c r="BE255" s="5"/>
    </row>
    <row r="256" spans="1:57" s="9" customFormat="1" ht="11.25">
      <c r="A256" s="26" t="s">
        <v>243</v>
      </c>
      <c r="B256" s="9" t="s">
        <v>68</v>
      </c>
      <c r="C256" s="9" t="s">
        <v>44</v>
      </c>
      <c r="D256" s="20" t="s">
        <v>18</v>
      </c>
      <c r="E256" s="5"/>
      <c r="F256" s="1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>
        <v>1</v>
      </c>
      <c r="AA256" s="11"/>
      <c r="AB256" s="5"/>
      <c r="AC256" s="5"/>
      <c r="AD256" s="5"/>
      <c r="AE256" s="5"/>
      <c r="AF256" s="5"/>
      <c r="AG256" s="5"/>
      <c r="AH256" s="5"/>
      <c r="AI256" s="5"/>
      <c r="AJ256" s="5"/>
      <c r="AK256" s="17"/>
      <c r="AL256" s="5"/>
      <c r="AM256" s="5"/>
      <c r="AN256" s="5"/>
      <c r="AO256" s="5"/>
      <c r="AP256" s="5"/>
      <c r="AQ256" s="5">
        <v>2</v>
      </c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>
        <f t="shared" si="8"/>
        <v>3</v>
      </c>
      <c r="BD256" s="33" t="s">
        <v>18</v>
      </c>
      <c r="BE256" s="4"/>
    </row>
    <row r="257" spans="1:57" s="8" customFormat="1" ht="11.25">
      <c r="A257" s="26" t="s">
        <v>244</v>
      </c>
      <c r="B257" s="9" t="s">
        <v>23</v>
      </c>
      <c r="C257" s="9" t="s">
        <v>43</v>
      </c>
      <c r="D257" s="20" t="s">
        <v>24</v>
      </c>
      <c r="E257" s="4">
        <v>3</v>
      </c>
      <c r="F257" s="1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>
        <v>2</v>
      </c>
      <c r="S257" s="4"/>
      <c r="T257" s="4"/>
      <c r="U257" s="4"/>
      <c r="V257" s="4"/>
      <c r="W257" s="4"/>
      <c r="X257" s="4"/>
      <c r="Y257" s="4"/>
      <c r="Z257" s="4"/>
      <c r="AA257" s="10"/>
      <c r="AB257" s="4"/>
      <c r="AC257" s="4"/>
      <c r="AD257" s="4"/>
      <c r="AE257" s="4"/>
      <c r="AF257" s="4"/>
      <c r="AG257" s="4"/>
      <c r="AH257" s="4"/>
      <c r="AI257" s="4"/>
      <c r="AJ257" s="4"/>
      <c r="AK257" s="17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5"/>
      <c r="BA257" s="4"/>
      <c r="BB257" s="4"/>
      <c r="BC257" s="5">
        <f t="shared" si="8"/>
        <v>5</v>
      </c>
      <c r="BD257" s="33" t="s">
        <v>24</v>
      </c>
      <c r="BE257" s="5"/>
    </row>
    <row r="258" spans="1:57" s="8" customFormat="1" ht="11.25">
      <c r="A258" s="26" t="s">
        <v>245</v>
      </c>
      <c r="B258" s="9" t="s">
        <v>23</v>
      </c>
      <c r="C258" s="9" t="s">
        <v>6</v>
      </c>
      <c r="D258" s="20" t="s">
        <v>24</v>
      </c>
      <c r="E258" s="5">
        <v>3</v>
      </c>
      <c r="F258" s="17">
        <v>1</v>
      </c>
      <c r="G258" s="5"/>
      <c r="H258" s="5"/>
      <c r="I258" s="5">
        <v>5</v>
      </c>
      <c r="J258" s="5">
        <v>2</v>
      </c>
      <c r="K258" s="5"/>
      <c r="L258" s="5"/>
      <c r="M258" s="5"/>
      <c r="N258" s="5"/>
      <c r="O258" s="5">
        <v>5</v>
      </c>
      <c r="P258" s="5"/>
      <c r="Q258" s="5"/>
      <c r="R258" s="5">
        <v>2</v>
      </c>
      <c r="S258" s="5"/>
      <c r="T258" s="5"/>
      <c r="U258" s="5">
        <v>2</v>
      </c>
      <c r="V258" s="5"/>
      <c r="W258" s="5"/>
      <c r="X258" s="5"/>
      <c r="Y258" s="5"/>
      <c r="Z258" s="5"/>
      <c r="AA258" s="11"/>
      <c r="AB258" s="5"/>
      <c r="AC258" s="5"/>
      <c r="AD258" s="5"/>
      <c r="AE258" s="5"/>
      <c r="AF258" s="5"/>
      <c r="AG258" s="5"/>
      <c r="AH258" s="5"/>
      <c r="AI258" s="5"/>
      <c r="AJ258" s="5"/>
      <c r="AK258" s="17"/>
      <c r="AL258" s="5"/>
      <c r="AM258" s="5"/>
      <c r="AN258" s="5"/>
      <c r="AO258" s="5">
        <v>5</v>
      </c>
      <c r="AP258" s="5">
        <v>5</v>
      </c>
      <c r="AQ258" s="5">
        <v>5</v>
      </c>
      <c r="AR258" s="5">
        <v>5</v>
      </c>
      <c r="AS258" s="5"/>
      <c r="AT258" s="5"/>
      <c r="AU258" s="5"/>
      <c r="AV258" s="5">
        <v>5</v>
      </c>
      <c r="AW258" s="5">
        <v>5</v>
      </c>
      <c r="AX258" s="5"/>
      <c r="AY258" s="5"/>
      <c r="AZ258" s="5"/>
      <c r="BA258" s="5"/>
      <c r="BB258" s="5"/>
      <c r="BC258" s="5">
        <f t="shared" si="8"/>
        <v>50</v>
      </c>
      <c r="BD258" s="33" t="s">
        <v>24</v>
      </c>
      <c r="BE258" s="5"/>
    </row>
    <row r="259" spans="1:57" s="9" customFormat="1" ht="11.25">
      <c r="A259" s="26" t="s">
        <v>246</v>
      </c>
      <c r="B259" s="9" t="s">
        <v>21</v>
      </c>
      <c r="C259" s="9" t="s">
        <v>22</v>
      </c>
      <c r="D259" s="20" t="s">
        <v>18</v>
      </c>
      <c r="E259" s="5"/>
      <c r="F259" s="17"/>
      <c r="G259" s="5"/>
      <c r="H259" s="5"/>
      <c r="I259" s="5"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11"/>
      <c r="AB259" s="5"/>
      <c r="AC259" s="5"/>
      <c r="AD259" s="5"/>
      <c r="AE259" s="5"/>
      <c r="AF259" s="5"/>
      <c r="AG259" s="5"/>
      <c r="AH259" s="5"/>
      <c r="AI259" s="5"/>
      <c r="AJ259" s="5"/>
      <c r="AK259" s="17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>
        <v>1</v>
      </c>
      <c r="BB259" s="5"/>
      <c r="BC259" s="5">
        <f t="shared" si="8"/>
        <v>2</v>
      </c>
      <c r="BD259" s="33" t="s">
        <v>18</v>
      </c>
      <c r="BE259" s="4"/>
    </row>
    <row r="260" spans="1:57" s="9" customFormat="1" ht="11.25">
      <c r="A260" s="26" t="s">
        <v>247</v>
      </c>
      <c r="B260" s="9" t="s">
        <v>110</v>
      </c>
      <c r="C260" s="9" t="s">
        <v>111</v>
      </c>
      <c r="D260" s="20" t="s">
        <v>18</v>
      </c>
      <c r="E260" s="5"/>
      <c r="F260" s="17"/>
      <c r="G260" s="5"/>
      <c r="H260" s="5">
        <v>2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11"/>
      <c r="AB260" s="5"/>
      <c r="AC260" s="5"/>
      <c r="AD260" s="5"/>
      <c r="AE260" s="5"/>
      <c r="AF260" s="5"/>
      <c r="AG260" s="5"/>
      <c r="AH260" s="5"/>
      <c r="AI260" s="5"/>
      <c r="AJ260" s="5"/>
      <c r="AK260" s="17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>
        <f t="shared" si="8"/>
        <v>2</v>
      </c>
      <c r="BD260" s="33" t="s">
        <v>18</v>
      </c>
      <c r="BE260" s="4"/>
    </row>
    <row r="261" spans="1:57" s="9" customFormat="1" ht="11.25">
      <c r="A261" s="26" t="s">
        <v>248</v>
      </c>
      <c r="B261" s="8" t="s">
        <v>58</v>
      </c>
      <c r="C261" s="8" t="s">
        <v>46</v>
      </c>
      <c r="D261" s="20" t="s">
        <v>18</v>
      </c>
      <c r="E261" s="5">
        <v>20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11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>
        <f t="shared" si="8"/>
        <v>20</v>
      </c>
      <c r="BD261" s="33" t="s">
        <v>18</v>
      </c>
      <c r="BE261" s="4"/>
    </row>
    <row r="262" spans="1:107" ht="11.25">
      <c r="A262" s="27" t="s">
        <v>249</v>
      </c>
      <c r="B262" s="8" t="s">
        <v>123</v>
      </c>
      <c r="C262" s="8"/>
      <c r="D262" s="20" t="s">
        <v>24</v>
      </c>
      <c r="L262" s="5"/>
      <c r="N262" s="5"/>
      <c r="AK262" s="7"/>
      <c r="AL262" s="5"/>
      <c r="AN262" s="5"/>
      <c r="AO262" s="5">
        <v>1</v>
      </c>
      <c r="AP262" s="5">
        <v>1</v>
      </c>
      <c r="AQ262" s="5">
        <v>1</v>
      </c>
      <c r="AR262" s="5">
        <v>1</v>
      </c>
      <c r="AU262" s="5"/>
      <c r="BA262" s="5">
        <v>1</v>
      </c>
      <c r="BC262" s="5">
        <f t="shared" si="8"/>
        <v>5</v>
      </c>
      <c r="BD262" s="33" t="s">
        <v>24</v>
      </c>
      <c r="BE262" s="5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</row>
    <row r="263" spans="1:60" ht="11.25">
      <c r="A263" s="27" t="s">
        <v>250</v>
      </c>
      <c r="B263" s="8" t="s">
        <v>124</v>
      </c>
      <c r="C263" s="8" t="s">
        <v>125</v>
      </c>
      <c r="D263" s="20" t="s">
        <v>18</v>
      </c>
      <c r="I263" s="5">
        <v>1</v>
      </c>
      <c r="L263" s="5">
        <v>1</v>
      </c>
      <c r="N263" s="5"/>
      <c r="O263" s="5">
        <v>2</v>
      </c>
      <c r="U263" s="5">
        <v>1</v>
      </c>
      <c r="AK263" s="7"/>
      <c r="AL263" s="5"/>
      <c r="AN263" s="5"/>
      <c r="BC263" s="5">
        <f t="shared" si="8"/>
        <v>5</v>
      </c>
      <c r="BD263" s="33" t="s">
        <v>18</v>
      </c>
      <c r="BE263" s="5"/>
      <c r="BF263" s="8"/>
      <c r="BG263" s="8"/>
      <c r="BH263" s="8"/>
    </row>
    <row r="264" spans="1:60" ht="11.25">
      <c r="A264" s="27" t="s">
        <v>251</v>
      </c>
      <c r="B264" s="8" t="s">
        <v>138</v>
      </c>
      <c r="C264" s="8"/>
      <c r="D264" s="20" t="s">
        <v>139</v>
      </c>
      <c r="H264" s="5">
        <v>3</v>
      </c>
      <c r="L264" s="5"/>
      <c r="N264" s="5"/>
      <c r="AK264" s="7"/>
      <c r="AL264" s="5"/>
      <c r="AN264" s="5"/>
      <c r="BC264" s="5">
        <f t="shared" si="8"/>
        <v>3</v>
      </c>
      <c r="BD264" s="33" t="s">
        <v>139</v>
      </c>
      <c r="BE264" s="5"/>
      <c r="BF264" s="8"/>
      <c r="BG264" s="8"/>
      <c r="BH264" s="8"/>
    </row>
    <row r="265" spans="1:60" ht="11.25">
      <c r="A265" s="27" t="s">
        <v>252</v>
      </c>
      <c r="B265" s="8" t="s">
        <v>140</v>
      </c>
      <c r="C265" s="8" t="s">
        <v>141</v>
      </c>
      <c r="D265" s="20" t="s">
        <v>18</v>
      </c>
      <c r="L265" s="5"/>
      <c r="N265" s="5"/>
      <c r="AK265" s="7"/>
      <c r="AL265" s="5"/>
      <c r="AN265" s="5"/>
      <c r="AX265" s="5">
        <v>2</v>
      </c>
      <c r="AY265" s="5">
        <v>2</v>
      </c>
      <c r="BC265" s="5">
        <f t="shared" si="8"/>
        <v>4</v>
      </c>
      <c r="BD265" s="33" t="s">
        <v>18</v>
      </c>
      <c r="BE265" s="5"/>
      <c r="BF265" s="8"/>
      <c r="BG265" s="8"/>
      <c r="BH265" s="8"/>
    </row>
    <row r="266" spans="1:60" ht="12.75">
      <c r="A266" s="45" t="s">
        <v>260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7"/>
      <c r="BF266" s="8"/>
      <c r="BG266" s="8"/>
      <c r="BH266" s="8"/>
    </row>
    <row r="267" spans="1:60" ht="11.25" hidden="1">
      <c r="A267" s="27"/>
      <c r="B267" s="8"/>
      <c r="C267" s="8"/>
      <c r="D267" s="13"/>
      <c r="L267" s="5"/>
      <c r="N267" s="5"/>
      <c r="AK267" s="7"/>
      <c r="AL267" s="5"/>
      <c r="AN267" s="5"/>
      <c r="BD267" s="33"/>
      <c r="BE267" s="5"/>
      <c r="BF267" s="8"/>
      <c r="BG267" s="8"/>
      <c r="BH267" s="8"/>
    </row>
    <row r="268" spans="1:60" ht="11.25" hidden="1">
      <c r="A268" s="27"/>
      <c r="B268" s="8"/>
      <c r="C268" s="8"/>
      <c r="D268" s="13"/>
      <c r="L268" s="5"/>
      <c r="N268" s="5"/>
      <c r="AK268" s="7"/>
      <c r="AL268" s="5"/>
      <c r="AN268" s="5"/>
      <c r="BD268" s="33"/>
      <c r="BE268" s="5"/>
      <c r="BF268" s="8"/>
      <c r="BG268" s="8"/>
      <c r="BH268" s="8"/>
    </row>
    <row r="269" spans="1:60" ht="11.25" hidden="1">
      <c r="A269" s="27"/>
      <c r="B269" s="8"/>
      <c r="C269" s="8"/>
      <c r="D269" s="13"/>
      <c r="L269" s="5"/>
      <c r="N269" s="5"/>
      <c r="AK269" s="7"/>
      <c r="AL269" s="5"/>
      <c r="AN269" s="5"/>
      <c r="BD269" s="33"/>
      <c r="BE269" s="5"/>
      <c r="BF269" s="8"/>
      <c r="BG269" s="8"/>
      <c r="BH269" s="8"/>
    </row>
    <row r="270" spans="1:60" ht="11.25" hidden="1">
      <c r="A270" s="27"/>
      <c r="B270" s="8"/>
      <c r="C270" s="8"/>
      <c r="D270" s="13"/>
      <c r="L270" s="5"/>
      <c r="N270" s="5"/>
      <c r="AK270" s="7"/>
      <c r="AL270" s="5"/>
      <c r="AN270" s="5"/>
      <c r="BD270" s="33"/>
      <c r="BE270" s="5"/>
      <c r="BF270" s="8"/>
      <c r="BG270" s="8"/>
      <c r="BH270" s="8"/>
    </row>
    <row r="271" spans="1:60" ht="11.25" hidden="1">
      <c r="A271" s="27"/>
      <c r="B271" s="8"/>
      <c r="C271" s="8"/>
      <c r="D271" s="13"/>
      <c r="L271" s="5"/>
      <c r="N271" s="5"/>
      <c r="AK271" s="7"/>
      <c r="AL271" s="5"/>
      <c r="AN271" s="5"/>
      <c r="BD271" s="33"/>
      <c r="BE271" s="5"/>
      <c r="BF271" s="8"/>
      <c r="BG271" s="8"/>
      <c r="BH271" s="8"/>
    </row>
    <row r="272" spans="1:60" ht="11.25" hidden="1">
      <c r="A272" s="27"/>
      <c r="B272" s="8"/>
      <c r="C272" s="8"/>
      <c r="D272" s="13"/>
      <c r="L272" s="5"/>
      <c r="N272" s="5"/>
      <c r="AK272" s="7"/>
      <c r="AL272" s="5"/>
      <c r="AN272" s="5"/>
      <c r="BD272" s="33"/>
      <c r="BE272" s="5"/>
      <c r="BF272" s="8"/>
      <c r="BG272" s="8"/>
      <c r="BH272" s="8"/>
    </row>
    <row r="273" spans="1:60" ht="11.25" hidden="1">
      <c r="A273" s="27"/>
      <c r="B273" s="8"/>
      <c r="C273" s="8"/>
      <c r="D273" s="13"/>
      <c r="L273" s="5"/>
      <c r="N273" s="5"/>
      <c r="AK273" s="7"/>
      <c r="AL273" s="5"/>
      <c r="AN273" s="5"/>
      <c r="BD273" s="33"/>
      <c r="BE273" s="5"/>
      <c r="BF273" s="8"/>
      <c r="BG273" s="8"/>
      <c r="BH273" s="8"/>
    </row>
    <row r="274" spans="1:60" ht="11.25" hidden="1">
      <c r="A274" s="27"/>
      <c r="B274" s="8"/>
      <c r="C274" s="8"/>
      <c r="D274" s="13"/>
      <c r="L274" s="5"/>
      <c r="N274" s="5"/>
      <c r="AK274" s="7"/>
      <c r="AL274" s="5"/>
      <c r="AN274" s="5"/>
      <c r="BD274" s="33"/>
      <c r="BE274" s="5"/>
      <c r="BF274" s="8"/>
      <c r="BG274" s="8"/>
      <c r="BH274" s="8"/>
    </row>
    <row r="275" spans="1:60" ht="11.25" hidden="1">
      <c r="A275" s="27"/>
      <c r="B275" s="8"/>
      <c r="C275" s="8"/>
      <c r="D275" s="13"/>
      <c r="L275" s="5"/>
      <c r="N275" s="5"/>
      <c r="AK275" s="7"/>
      <c r="AL275" s="5"/>
      <c r="AN275" s="5"/>
      <c r="BD275" s="33"/>
      <c r="BE275" s="5"/>
      <c r="BF275" s="8"/>
      <c r="BG275" s="8"/>
      <c r="BH275" s="8"/>
    </row>
    <row r="276" spans="1:60" ht="11.25" hidden="1">
      <c r="A276" s="27"/>
      <c r="B276" s="8"/>
      <c r="C276" s="8"/>
      <c r="D276" s="13"/>
      <c r="L276" s="5"/>
      <c r="N276" s="5"/>
      <c r="AK276" s="7"/>
      <c r="AL276" s="5"/>
      <c r="AN276" s="5"/>
      <c r="BD276" s="33"/>
      <c r="BE276" s="5"/>
      <c r="BF276" s="8"/>
      <c r="BG276" s="8"/>
      <c r="BH276" s="8"/>
    </row>
    <row r="277" spans="1:60" ht="11.25" hidden="1">
      <c r="A277" s="27"/>
      <c r="B277" s="8"/>
      <c r="C277" s="8"/>
      <c r="D277" s="13"/>
      <c r="L277" s="5"/>
      <c r="N277" s="5"/>
      <c r="AK277" s="7"/>
      <c r="AL277" s="5"/>
      <c r="AN277" s="5"/>
      <c r="BD277" s="33"/>
      <c r="BE277" s="5"/>
      <c r="BF277" s="8"/>
      <c r="BG277" s="8"/>
      <c r="BH277" s="8"/>
    </row>
    <row r="278" spans="1:60" ht="11.25" hidden="1">
      <c r="A278" s="27"/>
      <c r="B278" s="8"/>
      <c r="C278" s="8"/>
      <c r="D278" s="13"/>
      <c r="L278" s="5"/>
      <c r="N278" s="5"/>
      <c r="AK278" s="7"/>
      <c r="AL278" s="5"/>
      <c r="AN278" s="5"/>
      <c r="BD278" s="33"/>
      <c r="BE278" s="5"/>
      <c r="BF278" s="8"/>
      <c r="BG278" s="8"/>
      <c r="BH278" s="8"/>
    </row>
    <row r="279" spans="1:60" ht="11.25" hidden="1">
      <c r="A279" s="27"/>
      <c r="B279" s="8"/>
      <c r="C279" s="8"/>
      <c r="D279" s="13"/>
      <c r="L279" s="5"/>
      <c r="N279" s="5"/>
      <c r="AK279" s="7"/>
      <c r="AL279" s="5"/>
      <c r="AN279" s="5"/>
      <c r="BD279" s="33"/>
      <c r="BE279" s="5"/>
      <c r="BF279" s="8"/>
      <c r="BG279" s="8"/>
      <c r="BH279" s="8"/>
    </row>
    <row r="280" spans="1:60" ht="11.25" hidden="1">
      <c r="A280" s="27"/>
      <c r="B280" s="8"/>
      <c r="C280" s="8"/>
      <c r="D280" s="13"/>
      <c r="L280" s="5"/>
      <c r="N280" s="5"/>
      <c r="AK280" s="7"/>
      <c r="AL280" s="5"/>
      <c r="AN280" s="5"/>
      <c r="BD280" s="33"/>
      <c r="BE280" s="5"/>
      <c r="BF280" s="8"/>
      <c r="BG280" s="8"/>
      <c r="BH280" s="8"/>
    </row>
    <row r="281" spans="1:60" ht="11.25" hidden="1">
      <c r="A281" s="27"/>
      <c r="B281" s="8"/>
      <c r="C281" s="8"/>
      <c r="D281" s="13"/>
      <c r="L281" s="5"/>
      <c r="N281" s="5"/>
      <c r="AK281" s="7"/>
      <c r="AL281" s="5"/>
      <c r="AN281" s="5"/>
      <c r="BD281" s="33"/>
      <c r="BE281" s="5"/>
      <c r="BF281" s="8"/>
      <c r="BG281" s="8"/>
      <c r="BH281" s="8"/>
    </row>
    <row r="282" spans="1:60" ht="11.25" hidden="1">
      <c r="A282" s="27"/>
      <c r="B282" s="8"/>
      <c r="C282" s="8"/>
      <c r="D282" s="13"/>
      <c r="L282" s="5"/>
      <c r="N282" s="5"/>
      <c r="AK282" s="7"/>
      <c r="AL282" s="5"/>
      <c r="AN282" s="5"/>
      <c r="BD282" s="33"/>
      <c r="BE282" s="5"/>
      <c r="BF282" s="8"/>
      <c r="BG282" s="8"/>
      <c r="BH282" s="8"/>
    </row>
    <row r="283" spans="1:60" ht="11.25" hidden="1">
      <c r="A283" s="27"/>
      <c r="B283" s="8"/>
      <c r="C283" s="8"/>
      <c r="D283" s="13"/>
      <c r="L283" s="5"/>
      <c r="N283" s="5"/>
      <c r="AK283" s="7"/>
      <c r="AL283" s="5"/>
      <c r="AN283" s="5"/>
      <c r="BD283" s="33"/>
      <c r="BE283" s="5"/>
      <c r="BF283" s="8"/>
      <c r="BG283" s="8"/>
      <c r="BH283" s="8"/>
    </row>
    <row r="284" spans="4:60" ht="11.25" hidden="1">
      <c r="D284" s="13"/>
      <c r="L284" s="5"/>
      <c r="N284" s="5"/>
      <c r="AK284" s="7"/>
      <c r="AL284" s="5"/>
      <c r="AN284" s="5"/>
      <c r="BD284" s="33"/>
      <c r="BE284" s="5"/>
      <c r="BF284" s="8"/>
      <c r="BG284" s="8"/>
      <c r="BH284" s="8"/>
    </row>
    <row r="285" spans="4:60" ht="11.25" hidden="1">
      <c r="D285" s="13"/>
      <c r="L285" s="5"/>
      <c r="N285" s="5"/>
      <c r="AK285" s="7"/>
      <c r="AL285" s="5"/>
      <c r="AN285" s="5"/>
      <c r="BD285" s="33"/>
      <c r="BE285" s="5"/>
      <c r="BF285" s="8"/>
      <c r="BG285" s="8"/>
      <c r="BH285" s="8"/>
    </row>
    <row r="286" spans="4:60" ht="11.25" hidden="1">
      <c r="D286" s="13"/>
      <c r="L286" s="5"/>
      <c r="N286" s="5"/>
      <c r="AK286" s="7"/>
      <c r="AL286" s="5"/>
      <c r="AN286" s="5"/>
      <c r="BD286" s="33"/>
      <c r="BE286" s="5"/>
      <c r="BF286" s="8"/>
      <c r="BG286" s="8"/>
      <c r="BH286" s="8"/>
    </row>
    <row r="287" spans="4:60" ht="11.25" hidden="1">
      <c r="D287" s="13"/>
      <c r="L287" s="5"/>
      <c r="N287" s="5"/>
      <c r="AK287" s="7"/>
      <c r="AL287" s="5"/>
      <c r="AN287" s="5"/>
      <c r="BD287" s="33"/>
      <c r="BE287" s="5"/>
      <c r="BF287" s="8"/>
      <c r="BG287" s="8"/>
      <c r="BH287" s="8"/>
    </row>
    <row r="288" spans="4:60" ht="11.25" hidden="1">
      <c r="D288" s="13"/>
      <c r="L288" s="5"/>
      <c r="N288" s="5"/>
      <c r="AK288" s="7"/>
      <c r="AL288" s="5"/>
      <c r="AN288" s="5"/>
      <c r="BD288" s="33"/>
      <c r="BE288" s="5"/>
      <c r="BF288" s="8"/>
      <c r="BG288" s="8"/>
      <c r="BH288" s="8"/>
    </row>
    <row r="289" spans="4:60" ht="11.25" hidden="1">
      <c r="D289" s="13"/>
      <c r="L289" s="5"/>
      <c r="N289" s="5"/>
      <c r="AK289" s="7"/>
      <c r="AL289" s="5"/>
      <c r="AN289" s="5"/>
      <c r="BD289" s="33"/>
      <c r="BE289" s="5"/>
      <c r="BF289" s="8"/>
      <c r="BG289" s="8"/>
      <c r="BH289" s="8"/>
    </row>
    <row r="290" spans="4:60" ht="11.25" hidden="1">
      <c r="D290" s="13"/>
      <c r="L290" s="5"/>
      <c r="N290" s="5"/>
      <c r="AK290" s="7"/>
      <c r="AL290" s="5"/>
      <c r="AN290" s="5"/>
      <c r="BD290" s="33"/>
      <c r="BE290" s="5"/>
      <c r="BF290" s="8"/>
      <c r="BG290" s="8"/>
      <c r="BH290" s="8"/>
    </row>
    <row r="291" spans="4:60" ht="11.25" hidden="1">
      <c r="D291" s="13"/>
      <c r="L291" s="5"/>
      <c r="N291" s="5"/>
      <c r="AK291" s="7"/>
      <c r="AL291" s="5"/>
      <c r="AN291" s="5"/>
      <c r="BD291" s="33"/>
      <c r="BE291" s="5"/>
      <c r="BF291" s="8"/>
      <c r="BG291" s="8"/>
      <c r="BH291" s="8"/>
    </row>
    <row r="292" spans="4:60" ht="11.25" hidden="1">
      <c r="D292" s="13"/>
      <c r="L292" s="5"/>
      <c r="N292" s="5"/>
      <c r="AK292" s="7"/>
      <c r="AL292" s="5"/>
      <c r="AN292" s="5"/>
      <c r="BD292" s="33"/>
      <c r="BE292" s="5"/>
      <c r="BF292" s="8"/>
      <c r="BG292" s="8"/>
      <c r="BH292" s="8"/>
    </row>
    <row r="293" spans="4:60" ht="11.25" hidden="1">
      <c r="D293" s="13"/>
      <c r="L293" s="5"/>
      <c r="N293" s="5"/>
      <c r="AK293" s="7"/>
      <c r="AL293" s="5"/>
      <c r="AN293" s="5"/>
      <c r="BD293" s="33"/>
      <c r="BE293" s="5"/>
      <c r="BF293" s="8"/>
      <c r="BG293" s="8"/>
      <c r="BH293" s="8"/>
    </row>
    <row r="294" spans="4:60" ht="11.25" hidden="1">
      <c r="D294" s="13"/>
      <c r="L294" s="5"/>
      <c r="N294" s="5"/>
      <c r="AK294" s="7"/>
      <c r="AL294" s="5"/>
      <c r="AN294" s="5"/>
      <c r="BD294" s="33"/>
      <c r="BE294" s="5"/>
      <c r="BF294" s="8"/>
      <c r="BG294" s="8"/>
      <c r="BH294" s="8"/>
    </row>
    <row r="295" spans="4:60" ht="11.25" hidden="1">
      <c r="D295" s="13"/>
      <c r="L295" s="5"/>
      <c r="N295" s="5"/>
      <c r="AK295" s="7"/>
      <c r="AL295" s="5"/>
      <c r="AN295" s="5"/>
      <c r="BD295" s="33"/>
      <c r="BE295" s="5"/>
      <c r="BF295" s="8"/>
      <c r="BG295" s="8"/>
      <c r="BH295" s="8"/>
    </row>
    <row r="296" spans="4:60" ht="11.25" hidden="1">
      <c r="D296" s="13"/>
      <c r="L296" s="5"/>
      <c r="N296" s="5"/>
      <c r="AK296" s="7"/>
      <c r="AL296" s="5"/>
      <c r="AN296" s="5"/>
      <c r="BD296" s="33"/>
      <c r="BE296" s="5"/>
      <c r="BF296" s="8"/>
      <c r="BG296" s="8"/>
      <c r="BH296" s="8"/>
    </row>
    <row r="297" spans="4:60" ht="11.25" hidden="1">
      <c r="D297" s="13"/>
      <c r="L297" s="5"/>
      <c r="N297" s="5"/>
      <c r="AK297" s="7"/>
      <c r="AL297" s="5"/>
      <c r="AN297" s="5"/>
      <c r="BD297" s="33"/>
      <c r="BE297" s="5"/>
      <c r="BF297" s="8"/>
      <c r="BG297" s="8"/>
      <c r="BH297" s="8"/>
    </row>
    <row r="298" spans="4:60" ht="11.25" hidden="1">
      <c r="D298" s="13"/>
      <c r="L298" s="5"/>
      <c r="N298" s="5"/>
      <c r="AK298" s="7"/>
      <c r="AL298" s="5"/>
      <c r="AN298" s="5"/>
      <c r="BD298" s="33"/>
      <c r="BE298" s="5"/>
      <c r="BF298" s="8"/>
      <c r="BG298" s="8"/>
      <c r="BH298" s="8"/>
    </row>
    <row r="299" spans="4:60" ht="11.25" hidden="1">
      <c r="D299" s="13"/>
      <c r="L299" s="5"/>
      <c r="N299" s="5"/>
      <c r="AK299" s="7"/>
      <c r="AL299" s="5"/>
      <c r="AN299" s="5"/>
      <c r="BD299" s="33"/>
      <c r="BE299" s="5"/>
      <c r="BF299" s="8"/>
      <c r="BG299" s="8"/>
      <c r="BH299" s="8"/>
    </row>
    <row r="300" spans="4:60" ht="11.25" hidden="1">
      <c r="D300" s="13"/>
      <c r="L300" s="5"/>
      <c r="N300" s="5"/>
      <c r="AK300" s="7"/>
      <c r="AL300" s="5"/>
      <c r="AN300" s="5"/>
      <c r="BD300" s="33"/>
      <c r="BE300" s="5"/>
      <c r="BF300" s="8"/>
      <c r="BG300" s="8"/>
      <c r="BH300" s="8"/>
    </row>
    <row r="301" spans="4:60" ht="11.25" hidden="1">
      <c r="D301" s="13"/>
      <c r="L301" s="5"/>
      <c r="N301" s="5"/>
      <c r="AK301" s="7"/>
      <c r="AL301" s="5"/>
      <c r="AN301" s="5"/>
      <c r="BD301" s="33"/>
      <c r="BE301" s="5"/>
      <c r="BF301" s="8"/>
      <c r="BG301" s="8"/>
      <c r="BH301" s="8"/>
    </row>
    <row r="302" spans="4:60" ht="11.25" hidden="1">
      <c r="D302" s="13"/>
      <c r="L302" s="5"/>
      <c r="N302" s="5"/>
      <c r="AK302" s="7"/>
      <c r="AL302" s="5"/>
      <c r="AN302" s="5"/>
      <c r="BD302" s="33"/>
      <c r="BE302" s="5"/>
      <c r="BF302" s="8"/>
      <c r="BG302" s="8"/>
      <c r="BH302" s="8"/>
    </row>
    <row r="303" spans="4:60" ht="11.25" hidden="1">
      <c r="D303" s="13"/>
      <c r="L303" s="5"/>
      <c r="N303" s="5"/>
      <c r="AK303" s="7"/>
      <c r="AL303" s="5"/>
      <c r="AN303" s="5"/>
      <c r="BD303" s="33"/>
      <c r="BE303" s="5"/>
      <c r="BF303" s="8"/>
      <c r="BG303" s="8"/>
      <c r="BH303" s="8"/>
    </row>
    <row r="304" spans="4:60" ht="11.25" hidden="1">
      <c r="D304" s="13"/>
      <c r="L304" s="5"/>
      <c r="N304" s="5"/>
      <c r="AK304" s="7"/>
      <c r="AL304" s="5"/>
      <c r="AN304" s="5"/>
      <c r="BD304" s="33"/>
      <c r="BE304" s="5"/>
      <c r="BF304" s="8"/>
      <c r="BG304" s="8"/>
      <c r="BH304" s="8"/>
    </row>
    <row r="305" spans="4:60" ht="11.25" hidden="1">
      <c r="D305" s="13"/>
      <c r="L305" s="5"/>
      <c r="N305" s="5"/>
      <c r="AK305" s="7"/>
      <c r="AL305" s="5"/>
      <c r="AN305" s="5"/>
      <c r="BD305" s="33"/>
      <c r="BE305" s="5"/>
      <c r="BF305" s="8"/>
      <c r="BG305" s="8"/>
      <c r="BH305" s="8"/>
    </row>
    <row r="306" spans="4:60" ht="11.25" hidden="1">
      <c r="D306" s="13"/>
      <c r="L306" s="5"/>
      <c r="N306" s="5"/>
      <c r="AK306" s="7"/>
      <c r="AL306" s="5"/>
      <c r="AN306" s="5"/>
      <c r="BD306" s="33"/>
      <c r="BE306" s="5"/>
      <c r="BF306" s="8"/>
      <c r="BG306" s="8"/>
      <c r="BH306" s="8"/>
    </row>
    <row r="307" spans="4:60" ht="11.25" hidden="1">
      <c r="D307" s="13"/>
      <c r="L307" s="5"/>
      <c r="N307" s="5"/>
      <c r="AK307" s="7"/>
      <c r="AL307" s="5"/>
      <c r="AN307" s="5"/>
      <c r="BD307" s="33"/>
      <c r="BE307" s="5"/>
      <c r="BF307" s="8"/>
      <c r="BG307" s="8"/>
      <c r="BH307" s="8"/>
    </row>
    <row r="308" spans="4:60" ht="11.25" hidden="1">
      <c r="D308" s="13"/>
      <c r="L308" s="5"/>
      <c r="N308" s="5"/>
      <c r="AK308" s="7"/>
      <c r="AL308" s="5"/>
      <c r="AN308" s="5"/>
      <c r="BD308" s="33"/>
      <c r="BE308" s="5"/>
      <c r="BF308" s="8"/>
      <c r="BG308" s="8"/>
      <c r="BH308" s="8"/>
    </row>
    <row r="309" spans="4:60" ht="11.25" hidden="1">
      <c r="D309" s="13"/>
      <c r="L309" s="5"/>
      <c r="N309" s="5"/>
      <c r="AK309" s="7"/>
      <c r="AL309" s="5"/>
      <c r="AN309" s="5"/>
      <c r="BD309" s="33"/>
      <c r="BE309" s="5"/>
      <c r="BF309" s="8"/>
      <c r="BG309" s="8"/>
      <c r="BH309" s="8"/>
    </row>
    <row r="310" spans="4:60" ht="11.25" hidden="1">
      <c r="D310" s="13"/>
      <c r="L310" s="5"/>
      <c r="N310" s="5"/>
      <c r="AK310" s="7"/>
      <c r="AL310" s="5"/>
      <c r="AN310" s="5"/>
      <c r="BD310" s="33"/>
      <c r="BE310" s="5"/>
      <c r="BF310" s="8"/>
      <c r="BG310" s="8"/>
      <c r="BH310" s="8"/>
    </row>
    <row r="311" spans="4:60" ht="11.25" hidden="1">
      <c r="D311" s="13"/>
      <c r="L311" s="5"/>
      <c r="N311" s="5"/>
      <c r="AK311" s="7"/>
      <c r="AL311" s="5"/>
      <c r="AN311" s="5"/>
      <c r="BD311" s="33"/>
      <c r="BE311" s="5"/>
      <c r="BF311" s="8"/>
      <c r="BG311" s="8"/>
      <c r="BH311" s="8"/>
    </row>
    <row r="312" spans="4:60" ht="11.25" hidden="1">
      <c r="D312" s="13"/>
      <c r="L312" s="5"/>
      <c r="N312" s="5"/>
      <c r="AK312" s="7"/>
      <c r="AL312" s="5"/>
      <c r="AN312" s="5"/>
      <c r="BD312" s="33"/>
      <c r="BE312" s="5"/>
      <c r="BF312" s="8"/>
      <c r="BG312" s="8"/>
      <c r="BH312" s="8"/>
    </row>
    <row r="313" spans="4:60" ht="11.25" hidden="1">
      <c r="D313" s="13"/>
      <c r="L313" s="5"/>
      <c r="N313" s="5"/>
      <c r="AK313" s="7"/>
      <c r="AL313" s="5"/>
      <c r="AN313" s="5"/>
      <c r="BD313" s="33"/>
      <c r="BE313" s="5"/>
      <c r="BF313" s="8"/>
      <c r="BG313" s="8"/>
      <c r="BH313" s="8"/>
    </row>
    <row r="314" spans="4:60" ht="11.25" hidden="1">
      <c r="D314" s="13"/>
      <c r="L314" s="5"/>
      <c r="N314" s="5"/>
      <c r="AK314" s="7"/>
      <c r="AL314" s="5"/>
      <c r="AN314" s="5"/>
      <c r="BD314" s="33"/>
      <c r="BE314" s="5"/>
      <c r="BF314" s="8"/>
      <c r="BG314" s="8"/>
      <c r="BH314" s="8"/>
    </row>
    <row r="315" spans="4:60" ht="11.25" hidden="1">
      <c r="D315" s="13"/>
      <c r="L315" s="5"/>
      <c r="N315" s="5"/>
      <c r="AK315" s="7"/>
      <c r="AL315" s="5"/>
      <c r="AN315" s="5"/>
      <c r="BD315" s="33"/>
      <c r="BE315" s="5"/>
      <c r="BF315" s="8"/>
      <c r="BG315" s="8"/>
      <c r="BH315" s="8"/>
    </row>
    <row r="316" spans="4:60" ht="11.25" hidden="1">
      <c r="D316" s="13"/>
      <c r="L316" s="5"/>
      <c r="N316" s="5"/>
      <c r="AK316" s="7"/>
      <c r="AL316" s="5"/>
      <c r="AN316" s="5"/>
      <c r="BD316" s="33"/>
      <c r="BE316" s="5"/>
      <c r="BF316" s="8"/>
      <c r="BG316" s="8"/>
      <c r="BH316" s="8"/>
    </row>
    <row r="317" spans="4:60" ht="11.25" hidden="1">
      <c r="D317" s="13"/>
      <c r="L317" s="5"/>
      <c r="N317" s="5"/>
      <c r="AK317" s="7"/>
      <c r="AL317" s="5"/>
      <c r="AN317" s="5"/>
      <c r="BD317" s="33"/>
      <c r="BE317" s="5"/>
      <c r="BF317" s="8"/>
      <c r="BG317" s="8"/>
      <c r="BH317" s="8"/>
    </row>
    <row r="318" spans="4:60" ht="11.25" hidden="1">
      <c r="D318" s="13"/>
      <c r="L318" s="5"/>
      <c r="N318" s="5"/>
      <c r="AK318" s="7"/>
      <c r="AL318" s="5"/>
      <c r="AN318" s="5"/>
      <c r="BD318" s="33"/>
      <c r="BE318" s="5"/>
      <c r="BF318" s="8"/>
      <c r="BG318" s="8"/>
      <c r="BH318" s="8"/>
    </row>
    <row r="319" spans="4:60" ht="11.25" hidden="1">
      <c r="D319" s="13"/>
      <c r="L319" s="5"/>
      <c r="N319" s="5"/>
      <c r="AK319" s="7"/>
      <c r="AL319" s="5"/>
      <c r="AN319" s="5"/>
      <c r="BD319" s="33"/>
      <c r="BE319" s="5"/>
      <c r="BF319" s="8"/>
      <c r="BG319" s="8"/>
      <c r="BH319" s="8"/>
    </row>
    <row r="320" spans="4:60" ht="11.25" hidden="1">
      <c r="D320" s="13"/>
      <c r="L320" s="5"/>
      <c r="N320" s="5"/>
      <c r="AK320" s="7"/>
      <c r="AL320" s="5"/>
      <c r="AN320" s="5"/>
      <c r="BD320" s="33"/>
      <c r="BE320" s="5"/>
      <c r="BF320" s="8"/>
      <c r="BG320" s="8"/>
      <c r="BH320" s="8"/>
    </row>
    <row r="321" spans="4:60" ht="11.25" hidden="1">
      <c r="D321" s="13"/>
      <c r="L321" s="5"/>
      <c r="N321" s="5"/>
      <c r="AK321" s="7"/>
      <c r="AL321" s="5"/>
      <c r="AN321" s="5"/>
      <c r="BD321" s="33"/>
      <c r="BE321" s="5"/>
      <c r="BF321" s="8"/>
      <c r="BG321" s="8"/>
      <c r="BH321" s="8"/>
    </row>
    <row r="322" spans="4:60" ht="11.25" hidden="1">
      <c r="D322" s="13"/>
      <c r="L322" s="5"/>
      <c r="N322" s="5"/>
      <c r="AK322" s="7"/>
      <c r="AL322" s="5"/>
      <c r="AN322" s="5"/>
      <c r="BD322" s="33"/>
      <c r="BE322" s="5"/>
      <c r="BF322" s="8"/>
      <c r="BG322" s="8"/>
      <c r="BH322" s="8"/>
    </row>
    <row r="323" spans="4:60" ht="11.25" hidden="1">
      <c r="D323" s="13"/>
      <c r="L323" s="5"/>
      <c r="N323" s="5"/>
      <c r="AK323" s="7"/>
      <c r="AL323" s="5"/>
      <c r="AN323" s="5"/>
      <c r="BD323" s="33"/>
      <c r="BE323" s="5"/>
      <c r="BF323" s="8"/>
      <c r="BG323" s="8"/>
      <c r="BH323" s="8"/>
    </row>
    <row r="324" spans="4:60" ht="11.25" hidden="1">
      <c r="D324" s="13"/>
      <c r="L324" s="5"/>
      <c r="N324" s="5"/>
      <c r="AK324" s="7"/>
      <c r="AL324" s="5"/>
      <c r="AN324" s="5"/>
      <c r="BD324" s="33"/>
      <c r="BE324" s="5"/>
      <c r="BF324" s="8"/>
      <c r="BG324" s="8"/>
      <c r="BH324" s="8"/>
    </row>
    <row r="325" spans="4:60" ht="11.25" hidden="1">
      <c r="D325" s="13"/>
      <c r="L325" s="5"/>
      <c r="N325" s="5"/>
      <c r="AK325" s="7"/>
      <c r="AL325" s="5"/>
      <c r="AN325" s="5"/>
      <c r="BD325" s="33"/>
      <c r="BE325" s="5"/>
      <c r="BF325" s="8"/>
      <c r="BG325" s="8"/>
      <c r="BH325" s="8"/>
    </row>
    <row r="326" spans="4:60" ht="11.25" hidden="1">
      <c r="D326" s="13"/>
      <c r="L326" s="5"/>
      <c r="N326" s="5"/>
      <c r="AK326" s="7"/>
      <c r="AL326" s="5"/>
      <c r="AN326" s="5"/>
      <c r="BD326" s="33"/>
      <c r="BE326" s="5"/>
      <c r="BF326" s="8"/>
      <c r="BG326" s="8"/>
      <c r="BH326" s="8"/>
    </row>
    <row r="327" spans="4:60" ht="11.25" hidden="1">
      <c r="D327" s="13"/>
      <c r="L327" s="5"/>
      <c r="N327" s="5"/>
      <c r="AK327" s="7"/>
      <c r="AL327" s="5"/>
      <c r="AN327" s="5"/>
      <c r="BD327" s="33"/>
      <c r="BE327" s="5"/>
      <c r="BF327" s="8"/>
      <c r="BG327" s="8"/>
      <c r="BH327" s="8"/>
    </row>
    <row r="328" spans="4:60" ht="11.25" hidden="1">
      <c r="D328" s="13"/>
      <c r="L328" s="5"/>
      <c r="N328" s="5"/>
      <c r="AK328" s="7"/>
      <c r="AL328" s="5"/>
      <c r="AN328" s="5"/>
      <c r="BD328" s="33"/>
      <c r="BE328" s="5"/>
      <c r="BF328" s="8"/>
      <c r="BG328" s="8"/>
      <c r="BH328" s="8"/>
    </row>
    <row r="329" spans="4:60" ht="11.25" hidden="1">
      <c r="D329" s="13"/>
      <c r="L329" s="5"/>
      <c r="N329" s="5"/>
      <c r="AK329" s="7"/>
      <c r="AL329" s="5"/>
      <c r="AN329" s="5"/>
      <c r="BD329" s="33"/>
      <c r="BE329" s="5"/>
      <c r="BF329" s="8"/>
      <c r="BG329" s="8"/>
      <c r="BH329" s="8"/>
    </row>
    <row r="330" spans="4:60" ht="11.25" hidden="1">
      <c r="D330" s="13"/>
      <c r="L330" s="5"/>
      <c r="N330" s="5"/>
      <c r="AK330" s="7"/>
      <c r="AL330" s="5"/>
      <c r="AN330" s="5"/>
      <c r="BD330" s="33"/>
      <c r="BE330" s="5"/>
      <c r="BF330" s="8"/>
      <c r="BG330" s="8"/>
      <c r="BH330" s="8"/>
    </row>
    <row r="331" spans="4:60" ht="11.25" hidden="1">
      <c r="D331" s="13"/>
      <c r="L331" s="5"/>
      <c r="N331" s="5"/>
      <c r="AK331" s="7"/>
      <c r="AL331" s="5"/>
      <c r="AN331" s="5"/>
      <c r="BD331" s="33"/>
      <c r="BE331" s="5"/>
      <c r="BF331" s="8"/>
      <c r="BG331" s="8"/>
      <c r="BH331" s="8"/>
    </row>
    <row r="332" spans="4:60" ht="11.25" hidden="1">
      <c r="D332" s="13"/>
      <c r="L332" s="5"/>
      <c r="N332" s="5"/>
      <c r="AK332" s="7"/>
      <c r="AL332" s="5"/>
      <c r="AN332" s="5"/>
      <c r="BD332" s="33"/>
      <c r="BE332" s="5"/>
      <c r="BF332" s="8"/>
      <c r="BG332" s="8"/>
      <c r="BH332" s="8"/>
    </row>
    <row r="333" spans="4:60" ht="11.25" hidden="1">
      <c r="D333" s="13"/>
      <c r="L333" s="5"/>
      <c r="N333" s="5"/>
      <c r="AK333" s="7"/>
      <c r="AL333" s="5"/>
      <c r="AN333" s="5"/>
      <c r="BD333" s="33"/>
      <c r="BE333" s="5"/>
      <c r="BF333" s="8"/>
      <c r="BG333" s="8"/>
      <c r="BH333" s="8"/>
    </row>
    <row r="334" spans="4:60" ht="11.25" hidden="1">
      <c r="D334" s="13"/>
      <c r="L334" s="5"/>
      <c r="N334" s="5"/>
      <c r="AK334" s="7"/>
      <c r="AL334" s="5"/>
      <c r="AN334" s="5"/>
      <c r="BD334" s="33"/>
      <c r="BE334" s="5"/>
      <c r="BF334" s="8"/>
      <c r="BG334" s="8"/>
      <c r="BH334" s="8"/>
    </row>
    <row r="335" spans="4:60" ht="11.25" hidden="1">
      <c r="D335" s="13"/>
      <c r="L335" s="5"/>
      <c r="N335" s="5"/>
      <c r="AK335" s="7"/>
      <c r="AL335" s="5"/>
      <c r="AN335" s="5"/>
      <c r="BD335" s="33"/>
      <c r="BE335" s="5"/>
      <c r="BF335" s="8"/>
      <c r="BG335" s="8"/>
      <c r="BH335" s="8"/>
    </row>
    <row r="336" spans="4:60" ht="11.25" hidden="1">
      <c r="D336" s="13"/>
      <c r="L336" s="5"/>
      <c r="N336" s="5"/>
      <c r="AK336" s="7"/>
      <c r="AL336" s="5"/>
      <c r="AN336" s="5"/>
      <c r="BD336" s="33"/>
      <c r="BE336" s="5"/>
      <c r="BF336" s="8"/>
      <c r="BG336" s="8"/>
      <c r="BH336" s="8"/>
    </row>
    <row r="337" spans="4:56" ht="11.25" hidden="1">
      <c r="D337" s="13"/>
      <c r="BD337" s="33"/>
    </row>
    <row r="338" spans="4:56" ht="11.25" hidden="1">
      <c r="D338" s="13"/>
      <c r="BD338" s="33"/>
    </row>
    <row r="339" spans="4:56" ht="11.25" hidden="1">
      <c r="D339" s="13"/>
      <c r="BD339" s="33"/>
    </row>
    <row r="340" spans="4:56" ht="11.25" hidden="1">
      <c r="D340" s="13"/>
      <c r="BD340" s="33"/>
    </row>
    <row r="341" spans="4:56" ht="11.25" hidden="1">
      <c r="D341" s="13"/>
      <c r="BD341" s="33"/>
    </row>
    <row r="342" spans="4:56" ht="11.25" hidden="1">
      <c r="D342" s="13"/>
      <c r="BD342" s="33"/>
    </row>
    <row r="343" spans="4:56" ht="11.25" hidden="1">
      <c r="D343" s="13"/>
      <c r="BD343" s="33"/>
    </row>
    <row r="344" spans="4:56" ht="11.25" hidden="1">
      <c r="D344" s="13"/>
      <c r="BD344" s="33"/>
    </row>
    <row r="345" spans="4:56" ht="11.25" hidden="1">
      <c r="D345" s="13"/>
      <c r="BD345" s="33"/>
    </row>
    <row r="346" spans="4:56" ht="11.25" hidden="1">
      <c r="D346" s="13"/>
      <c r="BD346" s="33"/>
    </row>
    <row r="347" spans="4:56" ht="11.25" hidden="1">
      <c r="D347" s="13"/>
      <c r="BD347" s="33"/>
    </row>
    <row r="348" spans="4:56" ht="11.25" hidden="1">
      <c r="D348" s="13"/>
      <c r="BD348" s="33"/>
    </row>
    <row r="349" spans="4:56" ht="11.25" hidden="1">
      <c r="D349" s="13"/>
      <c r="BD349" s="33"/>
    </row>
    <row r="350" spans="4:56" ht="11.25" hidden="1">
      <c r="D350" s="13"/>
      <c r="BD350" s="33"/>
    </row>
    <row r="351" spans="4:56" ht="11.25" hidden="1">
      <c r="D351" s="13"/>
      <c r="BD351" s="33"/>
    </row>
    <row r="352" spans="4:56" ht="11.25" hidden="1">
      <c r="D352" s="13"/>
      <c r="BD352" s="33"/>
    </row>
    <row r="353" spans="4:56" ht="11.25" hidden="1">
      <c r="D353" s="13"/>
      <c r="BD353" s="33"/>
    </row>
    <row r="354" spans="4:56" ht="11.25" hidden="1">
      <c r="D354" s="13"/>
      <c r="BD354" s="33"/>
    </row>
    <row r="355" spans="4:56" ht="11.25" hidden="1">
      <c r="D355" s="13"/>
      <c r="BD355" s="33"/>
    </row>
    <row r="356" spans="4:56" ht="11.25" hidden="1">
      <c r="D356" s="13"/>
      <c r="BD356" s="33"/>
    </row>
    <row r="357" spans="4:56" ht="11.25" hidden="1">
      <c r="D357" s="13"/>
      <c r="BD357" s="33"/>
    </row>
    <row r="358" spans="4:56" ht="11.25" hidden="1">
      <c r="D358" s="13"/>
      <c r="BD358" s="33"/>
    </row>
    <row r="359" spans="4:56" ht="11.25" hidden="1">
      <c r="D359" s="13"/>
      <c r="BD359" s="33"/>
    </row>
    <row r="360" spans="4:56" ht="11.25" hidden="1">
      <c r="D360" s="13"/>
      <c r="BD360" s="33"/>
    </row>
    <row r="361" spans="4:56" ht="11.25" hidden="1">
      <c r="D361" s="13"/>
      <c r="BD361" s="33"/>
    </row>
    <row r="362" spans="4:56" ht="11.25" hidden="1">
      <c r="D362" s="13"/>
      <c r="BD362" s="33"/>
    </row>
    <row r="363" spans="4:56" ht="11.25" hidden="1">
      <c r="D363" s="13"/>
      <c r="BD363" s="33"/>
    </row>
    <row r="364" spans="4:56" ht="11.25" hidden="1">
      <c r="D364" s="13"/>
      <c r="BD364" s="33"/>
    </row>
    <row r="365" spans="4:56" ht="11.25" hidden="1">
      <c r="D365" s="13"/>
      <c r="BD365" s="33"/>
    </row>
    <row r="366" spans="4:56" ht="11.25" hidden="1">
      <c r="D366" s="13"/>
      <c r="BD366" s="33"/>
    </row>
    <row r="367" spans="4:56" ht="11.25" hidden="1">
      <c r="D367" s="13"/>
      <c r="BD367" s="33"/>
    </row>
    <row r="368" spans="4:56" ht="11.25" hidden="1">
      <c r="D368" s="13"/>
      <c r="BD368" s="33"/>
    </row>
    <row r="369" spans="4:56" ht="11.25" hidden="1">
      <c r="D369" s="13"/>
      <c r="BD369" s="33"/>
    </row>
    <row r="370" spans="4:56" ht="11.25" hidden="1">
      <c r="D370" s="13"/>
      <c r="BD370" s="33"/>
    </row>
    <row r="371" spans="4:56" ht="11.25" hidden="1">
      <c r="D371" s="13"/>
      <c r="BD371" s="33"/>
    </row>
    <row r="372" spans="4:56" ht="11.25" hidden="1">
      <c r="D372" s="13"/>
      <c r="BD372" s="33"/>
    </row>
    <row r="373" spans="4:56" ht="11.25" hidden="1">
      <c r="D373" s="13"/>
      <c r="BD373" s="33"/>
    </row>
    <row r="374" spans="4:56" ht="11.25" hidden="1">
      <c r="D374" s="13"/>
      <c r="BD374" s="33"/>
    </row>
    <row r="375" spans="4:56" ht="11.25" hidden="1">
      <c r="D375" s="13"/>
      <c r="BD375" s="33"/>
    </row>
    <row r="376" spans="4:56" ht="11.25" hidden="1">
      <c r="D376" s="13"/>
      <c r="BD376" s="33"/>
    </row>
    <row r="377" spans="4:56" ht="11.25" hidden="1">
      <c r="D377" s="13"/>
      <c r="BD377" s="33"/>
    </row>
    <row r="378" spans="4:56" ht="11.25" hidden="1">
      <c r="D378" s="13"/>
      <c r="BD378" s="33"/>
    </row>
    <row r="379" spans="4:56" ht="11.25" hidden="1">
      <c r="D379" s="13"/>
      <c r="BD379" s="33"/>
    </row>
    <row r="380" spans="4:56" ht="11.25" hidden="1">
      <c r="D380" s="13"/>
      <c r="BD380" s="33"/>
    </row>
    <row r="381" spans="4:56" ht="11.25" hidden="1">
      <c r="D381" s="13"/>
      <c r="BD381" s="33"/>
    </row>
    <row r="382" spans="4:56" ht="11.25" hidden="1">
      <c r="D382" s="13"/>
      <c r="BD382" s="33"/>
    </row>
    <row r="383" spans="4:56" ht="11.25" hidden="1">
      <c r="D383" s="13"/>
      <c r="BD383" s="33"/>
    </row>
    <row r="384" spans="4:56" ht="11.25" hidden="1">
      <c r="D384" s="13"/>
      <c r="BD384" s="33"/>
    </row>
    <row r="385" spans="4:56" ht="11.25" hidden="1">
      <c r="D385" s="13"/>
      <c r="BD385" s="33"/>
    </row>
    <row r="386" spans="4:56" ht="11.25" hidden="1">
      <c r="D386" s="13"/>
      <c r="BD386" s="33"/>
    </row>
    <row r="387" spans="4:56" ht="11.25" hidden="1">
      <c r="D387" s="13"/>
      <c r="BD387" s="33"/>
    </row>
    <row r="388" spans="4:56" ht="11.25" hidden="1">
      <c r="D388" s="13"/>
      <c r="BD388" s="33"/>
    </row>
    <row r="389" spans="4:56" ht="11.25" hidden="1">
      <c r="D389" s="13"/>
      <c r="BD389" s="33"/>
    </row>
    <row r="390" spans="4:56" ht="11.25" hidden="1">
      <c r="D390" s="13"/>
      <c r="BD390" s="33"/>
    </row>
    <row r="391" spans="4:56" ht="11.25" hidden="1">
      <c r="D391" s="13"/>
      <c r="BD391" s="33"/>
    </row>
    <row r="392" spans="4:56" ht="11.25" hidden="1">
      <c r="D392" s="13"/>
      <c r="BD392" s="33"/>
    </row>
    <row r="393" spans="4:56" ht="11.25" hidden="1">
      <c r="D393" s="13"/>
      <c r="BD393" s="33"/>
    </row>
    <row r="394" spans="4:56" ht="11.25" hidden="1">
      <c r="D394" s="13"/>
      <c r="BD394" s="33"/>
    </row>
    <row r="395" spans="4:56" ht="11.25" hidden="1">
      <c r="D395" s="13"/>
      <c r="BD395" s="33"/>
    </row>
    <row r="396" spans="4:56" ht="11.25" hidden="1">
      <c r="D396" s="13"/>
      <c r="BD396" s="33"/>
    </row>
    <row r="397" spans="4:56" ht="11.25" hidden="1">
      <c r="D397" s="13"/>
      <c r="BD397" s="33"/>
    </row>
    <row r="398" spans="4:56" ht="11.25" hidden="1">
      <c r="D398" s="13"/>
      <c r="BD398" s="33"/>
    </row>
    <row r="399" spans="4:56" ht="11.25" hidden="1">
      <c r="D399" s="13"/>
      <c r="BD399" s="33"/>
    </row>
    <row r="400" spans="4:56" ht="11.25" hidden="1">
      <c r="D400" s="13"/>
      <c r="BD400" s="33"/>
    </row>
    <row r="401" spans="4:56" ht="11.25" hidden="1">
      <c r="D401" s="13"/>
      <c r="BD401" s="33"/>
    </row>
    <row r="402" spans="4:56" ht="11.25" hidden="1">
      <c r="D402" s="13"/>
      <c r="BD402" s="33"/>
    </row>
    <row r="403" spans="4:56" ht="11.25" hidden="1">
      <c r="D403" s="13"/>
      <c r="BD403" s="33"/>
    </row>
    <row r="404" spans="4:56" ht="11.25" hidden="1">
      <c r="D404" s="13"/>
      <c r="BD404" s="33"/>
    </row>
    <row r="405" spans="4:56" ht="11.25" hidden="1">
      <c r="D405" s="13"/>
      <c r="BD405" s="33"/>
    </row>
    <row r="406" spans="4:56" ht="11.25" hidden="1">
      <c r="D406" s="13"/>
      <c r="BD406" s="33"/>
    </row>
    <row r="407" spans="4:56" ht="11.25" hidden="1">
      <c r="D407" s="13"/>
      <c r="BD407" s="33"/>
    </row>
    <row r="408" spans="4:56" ht="11.25" hidden="1">
      <c r="D408" s="13"/>
      <c r="BD408" s="33"/>
    </row>
    <row r="409" spans="4:56" ht="11.25" hidden="1">
      <c r="D409" s="13"/>
      <c r="BD409" s="33"/>
    </row>
    <row r="410" spans="4:56" ht="11.25" hidden="1">
      <c r="D410" s="13"/>
      <c r="BD410" s="33"/>
    </row>
    <row r="411" spans="4:56" ht="11.25" hidden="1">
      <c r="D411" s="13"/>
      <c r="BD411" s="33"/>
    </row>
    <row r="412" spans="4:56" ht="11.25" hidden="1">
      <c r="D412" s="13"/>
      <c r="BD412" s="33"/>
    </row>
    <row r="413" spans="4:56" ht="11.25" hidden="1">
      <c r="D413" s="13"/>
      <c r="BD413" s="33"/>
    </row>
    <row r="414" spans="4:56" ht="11.25" hidden="1">
      <c r="D414" s="13"/>
      <c r="BD414" s="33"/>
    </row>
    <row r="415" spans="4:56" ht="11.25" hidden="1">
      <c r="D415" s="13"/>
      <c r="BD415" s="33"/>
    </row>
    <row r="416" spans="4:56" ht="11.25" hidden="1">
      <c r="D416" s="13"/>
      <c r="BD416" s="33"/>
    </row>
    <row r="417" spans="4:56" ht="11.25" hidden="1">
      <c r="D417" s="13"/>
      <c r="BD417" s="33"/>
    </row>
    <row r="418" spans="4:56" ht="11.25" hidden="1">
      <c r="D418" s="13"/>
      <c r="BD418" s="33"/>
    </row>
    <row r="419" spans="4:56" ht="11.25" hidden="1">
      <c r="D419" s="13"/>
      <c r="BD419" s="33"/>
    </row>
    <row r="420" spans="4:56" ht="11.25" hidden="1">
      <c r="D420" s="13"/>
      <c r="BD420" s="33"/>
    </row>
    <row r="421" spans="4:56" ht="11.25" hidden="1">
      <c r="D421" s="13"/>
      <c r="BD421" s="33"/>
    </row>
    <row r="422" spans="4:56" ht="11.25" hidden="1">
      <c r="D422" s="13"/>
      <c r="BD422" s="33"/>
    </row>
    <row r="423" spans="4:56" ht="11.25" hidden="1">
      <c r="D423" s="13"/>
      <c r="BD423" s="33"/>
    </row>
    <row r="424" spans="4:56" ht="11.25" hidden="1">
      <c r="D424" s="13"/>
      <c r="BD424" s="33"/>
    </row>
    <row r="425" spans="4:56" ht="11.25" hidden="1">
      <c r="D425" s="13"/>
      <c r="BD425" s="33"/>
    </row>
    <row r="426" spans="4:56" ht="11.25" hidden="1">
      <c r="D426" s="13"/>
      <c r="BD426" s="33"/>
    </row>
    <row r="427" spans="4:56" ht="11.25" hidden="1">
      <c r="D427" s="13"/>
      <c r="BD427" s="33"/>
    </row>
    <row r="428" spans="4:56" ht="11.25" hidden="1">
      <c r="D428" s="13"/>
      <c r="BD428" s="33"/>
    </row>
    <row r="429" spans="4:56" ht="11.25" hidden="1">
      <c r="D429" s="13"/>
      <c r="BD429" s="33"/>
    </row>
    <row r="430" spans="4:56" ht="11.25" hidden="1">
      <c r="D430" s="13"/>
      <c r="BD430" s="33"/>
    </row>
    <row r="431" spans="4:56" ht="11.25" hidden="1">
      <c r="D431" s="13"/>
      <c r="BD431" s="33"/>
    </row>
    <row r="432" spans="4:56" ht="11.25" hidden="1">
      <c r="D432" s="13"/>
      <c r="BD432" s="33"/>
    </row>
    <row r="433" spans="4:56" ht="11.25" hidden="1">
      <c r="D433" s="13"/>
      <c r="BD433" s="33"/>
    </row>
    <row r="434" spans="4:56" ht="11.25" hidden="1">
      <c r="D434" s="13"/>
      <c r="BD434" s="33"/>
    </row>
    <row r="435" spans="4:56" ht="11.25" hidden="1">
      <c r="D435" s="13"/>
      <c r="BD435" s="33"/>
    </row>
    <row r="436" spans="4:56" ht="11.25" hidden="1">
      <c r="D436" s="13"/>
      <c r="BD436" s="33"/>
    </row>
    <row r="437" spans="4:56" ht="11.25" hidden="1">
      <c r="D437" s="13"/>
      <c r="BD437" s="33"/>
    </row>
    <row r="438" spans="4:56" ht="11.25" hidden="1">
      <c r="D438" s="13"/>
      <c r="BD438" s="33"/>
    </row>
    <row r="439" spans="4:56" ht="11.25" hidden="1">
      <c r="D439" s="13"/>
      <c r="BD439" s="33"/>
    </row>
    <row r="440" spans="4:56" ht="11.25" hidden="1">
      <c r="D440" s="13"/>
      <c r="BD440" s="33"/>
    </row>
    <row r="441" spans="4:56" ht="11.25" hidden="1">
      <c r="D441" s="13"/>
      <c r="BD441" s="33"/>
    </row>
    <row r="442" spans="4:56" ht="11.25" hidden="1">
      <c r="D442" s="13"/>
      <c r="BD442" s="33"/>
    </row>
    <row r="443" spans="4:56" ht="11.25" hidden="1">
      <c r="D443" s="13"/>
      <c r="BD443" s="33"/>
    </row>
    <row r="444" spans="4:56" ht="11.25" hidden="1">
      <c r="D444" s="13"/>
      <c r="BD444" s="33"/>
    </row>
    <row r="445" spans="4:56" ht="11.25" hidden="1">
      <c r="D445" s="13"/>
      <c r="BD445" s="33"/>
    </row>
    <row r="446" spans="4:56" ht="11.25" hidden="1">
      <c r="D446" s="13"/>
      <c r="BD446" s="33"/>
    </row>
    <row r="447" spans="4:56" ht="11.25" hidden="1">
      <c r="D447" s="13"/>
      <c r="BD447" s="33"/>
    </row>
    <row r="448" spans="4:56" ht="11.25" hidden="1">
      <c r="D448" s="13"/>
      <c r="BD448" s="33"/>
    </row>
    <row r="449" spans="4:56" ht="11.25" hidden="1">
      <c r="D449" s="13"/>
      <c r="BD449" s="33"/>
    </row>
    <row r="450" spans="4:56" ht="11.25" hidden="1">
      <c r="D450" s="13"/>
      <c r="BD450" s="33"/>
    </row>
    <row r="451" spans="4:56" ht="11.25" hidden="1">
      <c r="D451" s="13"/>
      <c r="BD451" s="33"/>
    </row>
    <row r="452" spans="4:56" ht="11.25" hidden="1">
      <c r="D452" s="13"/>
      <c r="BD452" s="33"/>
    </row>
    <row r="453" spans="4:56" ht="11.25" hidden="1">
      <c r="D453" s="13"/>
      <c r="BD453" s="33"/>
    </row>
    <row r="454" spans="4:56" ht="11.25" hidden="1">
      <c r="D454" s="13"/>
      <c r="BD454" s="33"/>
    </row>
    <row r="455" spans="4:56" ht="11.25" hidden="1">
      <c r="D455" s="13"/>
      <c r="BD455" s="33"/>
    </row>
    <row r="456" spans="4:56" ht="11.25" hidden="1">
      <c r="D456" s="13"/>
      <c r="BD456" s="33"/>
    </row>
    <row r="457" spans="4:56" ht="11.25" hidden="1">
      <c r="D457" s="13"/>
      <c r="BD457" s="33"/>
    </row>
    <row r="458" spans="4:56" ht="11.25" hidden="1">
      <c r="D458" s="13"/>
      <c r="BD458" s="33"/>
    </row>
    <row r="459" spans="4:56" ht="11.25" hidden="1">
      <c r="D459" s="13"/>
      <c r="BD459" s="33"/>
    </row>
    <row r="460" spans="4:56" ht="11.25" hidden="1">
      <c r="D460" s="13"/>
      <c r="BD460" s="33"/>
    </row>
    <row r="461" spans="4:56" ht="11.25" hidden="1">
      <c r="D461" s="13"/>
      <c r="BD461" s="33"/>
    </row>
    <row r="462" spans="4:56" ht="11.25" hidden="1">
      <c r="D462" s="13"/>
      <c r="BD462" s="33"/>
    </row>
    <row r="463" spans="4:56" ht="11.25" hidden="1">
      <c r="D463" s="13"/>
      <c r="BD463" s="33"/>
    </row>
    <row r="464" spans="4:56" ht="11.25" hidden="1">
      <c r="D464" s="13"/>
      <c r="BD464" s="33"/>
    </row>
    <row r="465" spans="4:56" ht="11.25" hidden="1">
      <c r="D465" s="13"/>
      <c r="BD465" s="33"/>
    </row>
    <row r="466" spans="4:56" ht="11.25" hidden="1">
      <c r="D466" s="13"/>
      <c r="BD466" s="33"/>
    </row>
    <row r="467" spans="4:56" ht="11.25" hidden="1">
      <c r="D467" s="13"/>
      <c r="BD467" s="33"/>
    </row>
    <row r="468" spans="4:56" ht="11.25" hidden="1">
      <c r="D468" s="13"/>
      <c r="BD468" s="33"/>
    </row>
    <row r="469" spans="4:56" ht="11.25" hidden="1">
      <c r="D469" s="13"/>
      <c r="BD469" s="33"/>
    </row>
    <row r="470" spans="4:56" ht="11.25" hidden="1">
      <c r="D470" s="13"/>
      <c r="BD470" s="33"/>
    </row>
    <row r="471" spans="4:56" ht="11.25" hidden="1">
      <c r="D471" s="13"/>
      <c r="BD471" s="33"/>
    </row>
    <row r="472" spans="4:56" ht="11.25" hidden="1">
      <c r="D472" s="13"/>
      <c r="BD472" s="33"/>
    </row>
    <row r="473" spans="4:56" ht="11.25" hidden="1">
      <c r="D473" s="13"/>
      <c r="BD473" s="33"/>
    </row>
    <row r="474" spans="4:56" ht="11.25" hidden="1">
      <c r="D474" s="13"/>
      <c r="BD474" s="33"/>
    </row>
    <row r="475" spans="4:56" ht="11.25" hidden="1">
      <c r="D475" s="13"/>
      <c r="BD475" s="33"/>
    </row>
    <row r="476" spans="4:56" ht="11.25" hidden="1">
      <c r="D476" s="13"/>
      <c r="BD476" s="33"/>
    </row>
    <row r="477" spans="4:56" ht="11.25" hidden="1">
      <c r="D477" s="13"/>
      <c r="BD477" s="33"/>
    </row>
    <row r="478" spans="4:56" ht="11.25" hidden="1">
      <c r="D478" s="13"/>
      <c r="BD478" s="33"/>
    </row>
    <row r="479" spans="4:56" ht="11.25" hidden="1">
      <c r="D479" s="13"/>
      <c r="BD479" s="33"/>
    </row>
    <row r="480" spans="4:56" ht="11.25" hidden="1">
      <c r="D480" s="13"/>
      <c r="BD480" s="33"/>
    </row>
    <row r="481" spans="4:56" ht="11.25" hidden="1">
      <c r="D481" s="13"/>
      <c r="BD481" s="33"/>
    </row>
    <row r="482" spans="4:56" ht="11.25" hidden="1">
      <c r="D482" s="13"/>
      <c r="BD482" s="33"/>
    </row>
    <row r="483" spans="4:56" ht="11.25" hidden="1">
      <c r="D483" s="13"/>
      <c r="BD483" s="33"/>
    </row>
    <row r="484" spans="4:56" ht="11.25" hidden="1">
      <c r="D484" s="13"/>
      <c r="BD484" s="33"/>
    </row>
    <row r="485" spans="4:56" ht="11.25" hidden="1">
      <c r="D485" s="13"/>
      <c r="BD485" s="33"/>
    </row>
    <row r="486" spans="4:56" ht="11.25" hidden="1">
      <c r="D486" s="13"/>
      <c r="BD486" s="33"/>
    </row>
    <row r="487" spans="4:56" ht="11.25" hidden="1">
      <c r="D487" s="13"/>
      <c r="BD487" s="33"/>
    </row>
    <row r="488" spans="4:56" ht="11.25" hidden="1">
      <c r="D488" s="13"/>
      <c r="BD488" s="33"/>
    </row>
    <row r="489" spans="4:56" ht="11.25" hidden="1">
      <c r="D489" s="13"/>
      <c r="BD489" s="33"/>
    </row>
    <row r="490" spans="4:56" ht="11.25" hidden="1">
      <c r="D490" s="13"/>
      <c r="BD490" s="33"/>
    </row>
    <row r="491" spans="4:56" ht="11.25" hidden="1">
      <c r="D491" s="13"/>
      <c r="BD491" s="33"/>
    </row>
    <row r="492" spans="4:56" ht="11.25" hidden="1">
      <c r="D492" s="13"/>
      <c r="BD492" s="33"/>
    </row>
    <row r="493" spans="4:56" ht="11.25" hidden="1">
      <c r="D493" s="13"/>
      <c r="BD493" s="33"/>
    </row>
    <row r="494" spans="4:56" ht="11.25" hidden="1">
      <c r="D494" s="13"/>
      <c r="BD494" s="33"/>
    </row>
    <row r="495" spans="4:56" ht="11.25" hidden="1">
      <c r="D495" s="13"/>
      <c r="BD495" s="33"/>
    </row>
    <row r="496" spans="4:56" ht="11.25" hidden="1">
      <c r="D496" s="13"/>
      <c r="BD496" s="33"/>
    </row>
    <row r="497" spans="4:56" ht="11.25" hidden="1">
      <c r="D497" s="13"/>
      <c r="BD497" s="33"/>
    </row>
    <row r="498" spans="4:56" ht="11.25" hidden="1">
      <c r="D498" s="13"/>
      <c r="BD498" s="33"/>
    </row>
    <row r="499" spans="4:56" ht="11.25" hidden="1">
      <c r="D499" s="13"/>
      <c r="BD499" s="33"/>
    </row>
    <row r="500" spans="4:56" ht="11.25" hidden="1">
      <c r="D500" s="13"/>
      <c r="BD500" s="33"/>
    </row>
    <row r="501" spans="4:56" ht="11.25" hidden="1">
      <c r="D501" s="13"/>
      <c r="BD501" s="33"/>
    </row>
    <row r="502" spans="4:56" ht="11.25" hidden="1">
      <c r="D502" s="13"/>
      <c r="BD502" s="33"/>
    </row>
    <row r="503" spans="4:56" ht="11.25" hidden="1">
      <c r="D503" s="13"/>
      <c r="BD503" s="33"/>
    </row>
    <row r="504" spans="4:56" ht="11.25" hidden="1">
      <c r="D504" s="13"/>
      <c r="BD504" s="33"/>
    </row>
    <row r="505" spans="4:56" ht="11.25" hidden="1">
      <c r="D505" s="13"/>
      <c r="BD505" s="33"/>
    </row>
    <row r="506" spans="4:56" ht="11.25" hidden="1">
      <c r="D506" s="13"/>
      <c r="BD506" s="33"/>
    </row>
    <row r="507" spans="4:56" ht="11.25" hidden="1">
      <c r="D507" s="13"/>
      <c r="BD507" s="33"/>
    </row>
    <row r="508" spans="4:56" ht="11.25" hidden="1">
      <c r="D508" s="13"/>
      <c r="BD508" s="33"/>
    </row>
    <row r="509" spans="4:56" ht="11.25" hidden="1">
      <c r="D509" s="13"/>
      <c r="BD509" s="33"/>
    </row>
    <row r="510" spans="4:56" ht="11.25" hidden="1">
      <c r="D510" s="13"/>
      <c r="BD510" s="33"/>
    </row>
    <row r="511" spans="4:56" ht="11.25" hidden="1">
      <c r="D511" s="13"/>
      <c r="BD511" s="33"/>
    </row>
    <row r="512" spans="4:56" ht="11.25" hidden="1">
      <c r="D512" s="13"/>
      <c r="BD512" s="33"/>
    </row>
    <row r="513" spans="4:56" ht="11.25" hidden="1">
      <c r="D513" s="13"/>
      <c r="BD513" s="33"/>
    </row>
    <row r="514" spans="4:56" ht="11.25" hidden="1">
      <c r="D514" s="13"/>
      <c r="BD514" s="33"/>
    </row>
    <row r="515" spans="4:56" ht="11.25" hidden="1">
      <c r="D515" s="13"/>
      <c r="BD515" s="33"/>
    </row>
    <row r="516" spans="4:56" ht="11.25" hidden="1">
      <c r="D516" s="13"/>
      <c r="BD516" s="33"/>
    </row>
    <row r="517" spans="4:56" ht="11.25" hidden="1">
      <c r="D517" s="13"/>
      <c r="BD517" s="33"/>
    </row>
    <row r="518" spans="4:56" ht="11.25" hidden="1">
      <c r="D518" s="13"/>
      <c r="BD518" s="33"/>
    </row>
    <row r="519" spans="4:56" ht="11.25" hidden="1">
      <c r="D519" s="13"/>
      <c r="BD519" s="33"/>
    </row>
    <row r="520" spans="4:56" ht="11.25" hidden="1">
      <c r="D520" s="13"/>
      <c r="BD520" s="33"/>
    </row>
    <row r="521" spans="4:56" ht="11.25" hidden="1">
      <c r="D521" s="13"/>
      <c r="BD521" s="33"/>
    </row>
    <row r="522" spans="4:56" ht="11.25" hidden="1">
      <c r="D522" s="13"/>
      <c r="BD522" s="33"/>
    </row>
    <row r="523" spans="4:56" ht="11.25" hidden="1">
      <c r="D523" s="13"/>
      <c r="BD523" s="33"/>
    </row>
    <row r="524" spans="4:56" ht="11.25" hidden="1">
      <c r="D524" s="13"/>
      <c r="BD524" s="33"/>
    </row>
    <row r="525" spans="4:56" ht="11.25" hidden="1">
      <c r="D525" s="13"/>
      <c r="BD525" s="33"/>
    </row>
    <row r="526" spans="4:56" ht="11.25" hidden="1">
      <c r="D526" s="13"/>
      <c r="BD526" s="33"/>
    </row>
    <row r="527" spans="4:56" ht="11.25" hidden="1">
      <c r="D527" s="13"/>
      <c r="BD527" s="33"/>
    </row>
    <row r="528" spans="4:56" ht="11.25" hidden="1">
      <c r="D528" s="13"/>
      <c r="BD528" s="33"/>
    </row>
    <row r="529" spans="4:56" ht="11.25" hidden="1">
      <c r="D529" s="13"/>
      <c r="BD529" s="33"/>
    </row>
    <row r="530" spans="4:56" ht="11.25" hidden="1">
      <c r="D530" s="13"/>
      <c r="BD530" s="33"/>
    </row>
    <row r="531" spans="4:56" ht="11.25" hidden="1">
      <c r="D531" s="13"/>
      <c r="BD531" s="33"/>
    </row>
    <row r="532" spans="4:56" ht="11.25" hidden="1">
      <c r="D532" s="13"/>
      <c r="BD532" s="33"/>
    </row>
    <row r="533" spans="4:56" ht="11.25" hidden="1">
      <c r="D533" s="13"/>
      <c r="BD533" s="33"/>
    </row>
    <row r="534" spans="4:56" ht="11.25" hidden="1">
      <c r="D534" s="13"/>
      <c r="BD534" s="33"/>
    </row>
    <row r="535" spans="4:56" ht="11.25" hidden="1">
      <c r="D535" s="13"/>
      <c r="BD535" s="33"/>
    </row>
    <row r="536" spans="4:56" ht="11.25" hidden="1">
      <c r="D536" s="13"/>
      <c r="BD536" s="33"/>
    </row>
    <row r="537" spans="4:56" ht="11.25" hidden="1">
      <c r="D537" s="13"/>
      <c r="BD537" s="33"/>
    </row>
    <row r="538" spans="4:56" ht="11.25" hidden="1">
      <c r="D538" s="13"/>
      <c r="BD538" s="33"/>
    </row>
    <row r="539" spans="4:56" ht="11.25" hidden="1">
      <c r="D539" s="13"/>
      <c r="BD539" s="33"/>
    </row>
    <row r="540" spans="4:56" ht="11.25" hidden="1">
      <c r="D540" s="13"/>
      <c r="BD540" s="33"/>
    </row>
    <row r="541" spans="4:56" ht="11.25" hidden="1">
      <c r="D541" s="13"/>
      <c r="BD541" s="33"/>
    </row>
    <row r="542" spans="4:56" ht="11.25" hidden="1">
      <c r="D542" s="13"/>
      <c r="BD542" s="33"/>
    </row>
    <row r="543" spans="4:56" ht="11.25" hidden="1">
      <c r="D543" s="13"/>
      <c r="BD543" s="33"/>
    </row>
    <row r="544" spans="4:56" ht="11.25" hidden="1">
      <c r="D544" s="13"/>
      <c r="BD544" s="33"/>
    </row>
    <row r="545" spans="4:56" ht="11.25" hidden="1">
      <c r="D545" s="13"/>
      <c r="BD545" s="33"/>
    </row>
    <row r="546" spans="4:56" ht="11.25" hidden="1">
      <c r="D546" s="13"/>
      <c r="BD546" s="33"/>
    </row>
    <row r="547" spans="4:56" ht="11.25" hidden="1">
      <c r="D547" s="13"/>
      <c r="BD547" s="33"/>
    </row>
    <row r="548" spans="4:56" ht="11.25" hidden="1">
      <c r="D548" s="13"/>
      <c r="BD548" s="33"/>
    </row>
    <row r="549" spans="4:56" ht="11.25" hidden="1">
      <c r="D549" s="13"/>
      <c r="BD549" s="33"/>
    </row>
    <row r="550" spans="4:56" ht="11.25" hidden="1">
      <c r="D550" s="13"/>
      <c r="BD550" s="33"/>
    </row>
    <row r="551" spans="4:56" ht="11.25" hidden="1">
      <c r="D551" s="13"/>
      <c r="BD551" s="33"/>
    </row>
    <row r="552" spans="4:56" ht="11.25" hidden="1">
      <c r="D552" s="13"/>
      <c r="BD552" s="33"/>
    </row>
    <row r="553" spans="4:56" ht="11.25" hidden="1">
      <c r="D553" s="13"/>
      <c r="BD553" s="33"/>
    </row>
    <row r="554" spans="4:56" ht="11.25" hidden="1">
      <c r="D554" s="13"/>
      <c r="BD554" s="33"/>
    </row>
    <row r="555" spans="4:56" ht="11.25" hidden="1">
      <c r="D555" s="13"/>
      <c r="BD555" s="33"/>
    </row>
    <row r="556" spans="4:56" ht="11.25" hidden="1">
      <c r="D556" s="13"/>
      <c r="BD556" s="33"/>
    </row>
    <row r="557" spans="4:56" ht="11.25" hidden="1">
      <c r="D557" s="13"/>
      <c r="BD557" s="33"/>
    </row>
    <row r="558" spans="4:56" ht="11.25" hidden="1">
      <c r="D558" s="13"/>
      <c r="BD558" s="33"/>
    </row>
    <row r="559" spans="4:56" ht="11.25" hidden="1">
      <c r="D559" s="13"/>
      <c r="BD559" s="33"/>
    </row>
    <row r="560" spans="4:56" ht="11.25" hidden="1">
      <c r="D560" s="13"/>
      <c r="BD560" s="33"/>
    </row>
    <row r="561" spans="4:56" ht="11.25" hidden="1">
      <c r="D561" s="13"/>
      <c r="BD561" s="33"/>
    </row>
    <row r="562" spans="4:56" ht="11.25" hidden="1">
      <c r="D562" s="13"/>
      <c r="BD562" s="33"/>
    </row>
    <row r="563" spans="4:56" ht="11.25" hidden="1">
      <c r="D563" s="13"/>
      <c r="BD563" s="33"/>
    </row>
    <row r="564" spans="4:56" ht="11.25" hidden="1">
      <c r="D564" s="13"/>
      <c r="BD564" s="33"/>
    </row>
    <row r="565" spans="4:56" ht="11.25" hidden="1">
      <c r="D565" s="13"/>
      <c r="BD565" s="33"/>
    </row>
    <row r="566" spans="4:56" ht="11.25" hidden="1">
      <c r="D566" s="13"/>
      <c r="BD566" s="33"/>
    </row>
    <row r="567" spans="4:56" ht="11.25" hidden="1">
      <c r="D567" s="13"/>
      <c r="BD567" s="33"/>
    </row>
    <row r="568" spans="4:56" ht="11.25" hidden="1">
      <c r="D568" s="13"/>
      <c r="BD568" s="33"/>
    </row>
    <row r="569" spans="4:56" ht="11.25" hidden="1">
      <c r="D569" s="13"/>
      <c r="BD569" s="33"/>
    </row>
    <row r="570" spans="4:56" ht="11.25" hidden="1">
      <c r="D570" s="13"/>
      <c r="BD570" s="33"/>
    </row>
    <row r="571" spans="4:56" ht="11.25" hidden="1">
      <c r="D571" s="13"/>
      <c r="BD571" s="33"/>
    </row>
    <row r="572" spans="4:56" ht="11.25" hidden="1">
      <c r="D572" s="13"/>
      <c r="BD572" s="33"/>
    </row>
    <row r="573" spans="4:56" ht="11.25" hidden="1">
      <c r="D573" s="13"/>
      <c r="BD573" s="33"/>
    </row>
    <row r="574" spans="4:56" ht="11.25" hidden="1">
      <c r="D574" s="13"/>
      <c r="BD574" s="33"/>
    </row>
    <row r="575" spans="4:56" ht="11.25" hidden="1">
      <c r="D575" s="13"/>
      <c r="BD575" s="33"/>
    </row>
    <row r="576" spans="4:56" ht="11.25" hidden="1">
      <c r="D576" s="13"/>
      <c r="BD576" s="33"/>
    </row>
    <row r="577" spans="4:56" ht="11.25" hidden="1">
      <c r="D577" s="13"/>
      <c r="BD577" s="33"/>
    </row>
    <row r="578" spans="4:56" ht="11.25" hidden="1">
      <c r="D578" s="13"/>
      <c r="BD578" s="33"/>
    </row>
    <row r="579" spans="4:56" ht="11.25" hidden="1">
      <c r="D579" s="13"/>
      <c r="BD579" s="33"/>
    </row>
    <row r="580" spans="4:56" ht="11.25" hidden="1">
      <c r="D580" s="13"/>
      <c r="BD580" s="33"/>
    </row>
    <row r="581" spans="4:56" ht="11.25" hidden="1">
      <c r="D581" s="13"/>
      <c r="BD581" s="33"/>
    </row>
    <row r="582" spans="4:56" ht="11.25" hidden="1">
      <c r="D582" s="13"/>
      <c r="BD582" s="33"/>
    </row>
    <row r="583" spans="4:56" ht="11.25" hidden="1">
      <c r="D583" s="13"/>
      <c r="BD583" s="33"/>
    </row>
    <row r="584" spans="4:56" ht="11.25" hidden="1">
      <c r="D584" s="13"/>
      <c r="BD584" s="33"/>
    </row>
    <row r="585" spans="4:56" ht="11.25" hidden="1">
      <c r="D585" s="13"/>
      <c r="BD585" s="33"/>
    </row>
    <row r="586" spans="4:56" ht="11.25" hidden="1">
      <c r="D586" s="13"/>
      <c r="BD586" s="33"/>
    </row>
    <row r="587" spans="4:56" ht="11.25" hidden="1">
      <c r="D587" s="13"/>
      <c r="BD587" s="33"/>
    </row>
    <row r="588" spans="4:56" ht="11.25" hidden="1">
      <c r="D588" s="13"/>
      <c r="BD588" s="33"/>
    </row>
    <row r="589" spans="4:56" ht="11.25" hidden="1">
      <c r="D589" s="13"/>
      <c r="BD589" s="33"/>
    </row>
    <row r="590" spans="4:56" ht="11.25" hidden="1">
      <c r="D590" s="13"/>
      <c r="BD590" s="33"/>
    </row>
    <row r="591" spans="4:56" ht="11.25" hidden="1">
      <c r="D591" s="13"/>
      <c r="BD591" s="33"/>
    </row>
    <row r="592" spans="4:56" ht="11.25" hidden="1">
      <c r="D592" s="13"/>
      <c r="BD592" s="33"/>
    </row>
    <row r="593" spans="4:56" ht="11.25" hidden="1">
      <c r="D593" s="13"/>
      <c r="BD593" s="33"/>
    </row>
    <row r="594" spans="4:56" ht="11.25" hidden="1">
      <c r="D594" s="13"/>
      <c r="BD594" s="33"/>
    </row>
    <row r="595" spans="4:56" ht="11.25" hidden="1">
      <c r="D595" s="13"/>
      <c r="BD595" s="33"/>
    </row>
    <row r="596" spans="4:56" ht="11.25" hidden="1">
      <c r="D596" s="13"/>
      <c r="BD596" s="33"/>
    </row>
    <row r="597" spans="4:56" ht="11.25" hidden="1">
      <c r="D597" s="13"/>
      <c r="BD597" s="33"/>
    </row>
    <row r="598" spans="4:56" ht="11.25" hidden="1">
      <c r="D598" s="13"/>
      <c r="BD598" s="33"/>
    </row>
    <row r="599" spans="4:56" ht="11.25" hidden="1">
      <c r="D599" s="13"/>
      <c r="BD599" s="33"/>
    </row>
    <row r="600" spans="4:56" ht="11.25" hidden="1">
      <c r="D600" s="13"/>
      <c r="BD600" s="33"/>
    </row>
    <row r="601" spans="4:56" ht="11.25" hidden="1">
      <c r="D601" s="13"/>
      <c r="BD601" s="33"/>
    </row>
    <row r="602" spans="4:56" ht="11.25" hidden="1">
      <c r="D602" s="13"/>
      <c r="BD602" s="33"/>
    </row>
    <row r="603" spans="4:56" ht="11.25" hidden="1">
      <c r="D603" s="13"/>
      <c r="BD603" s="33"/>
    </row>
    <row r="604" spans="4:56" ht="11.25" hidden="1">
      <c r="D604" s="13"/>
      <c r="BD604" s="33"/>
    </row>
    <row r="605" spans="4:56" ht="11.25" hidden="1">
      <c r="D605" s="13"/>
      <c r="BD605" s="33"/>
    </row>
    <row r="606" spans="4:56" ht="11.25" hidden="1">
      <c r="D606" s="13"/>
      <c r="BD606" s="33"/>
    </row>
    <row r="607" spans="4:56" ht="11.25" hidden="1">
      <c r="D607" s="13"/>
      <c r="BD607" s="33"/>
    </row>
    <row r="608" spans="4:56" ht="11.25" hidden="1">
      <c r="D608" s="13"/>
      <c r="BD608" s="33"/>
    </row>
    <row r="609" spans="4:56" ht="11.25" hidden="1">
      <c r="D609" s="13"/>
      <c r="BD609" s="33"/>
    </row>
    <row r="610" spans="4:56" ht="11.25" hidden="1">
      <c r="D610" s="13"/>
      <c r="BD610" s="33"/>
    </row>
    <row r="611" spans="4:56" ht="11.25" hidden="1">
      <c r="D611" s="13"/>
      <c r="BD611" s="33"/>
    </row>
    <row r="612" spans="4:56" ht="11.25" hidden="1">
      <c r="D612" s="13"/>
      <c r="BD612" s="33"/>
    </row>
    <row r="613" spans="4:56" ht="11.25" hidden="1">
      <c r="D613" s="13"/>
      <c r="BD613" s="33"/>
    </row>
    <row r="614" spans="4:56" ht="11.25" hidden="1">
      <c r="D614" s="13"/>
      <c r="BD614" s="33"/>
    </row>
    <row r="615" spans="4:56" ht="11.25" hidden="1">
      <c r="D615" s="13"/>
      <c r="BD615" s="33"/>
    </row>
    <row r="616" spans="4:56" ht="11.25" hidden="1">
      <c r="D616" s="13"/>
      <c r="BD616" s="33"/>
    </row>
    <row r="617" spans="4:56" ht="11.25" hidden="1">
      <c r="D617" s="13"/>
      <c r="BD617" s="33"/>
    </row>
    <row r="618" spans="4:56" ht="11.25" hidden="1">
      <c r="D618" s="13"/>
      <c r="BD618" s="33"/>
    </row>
    <row r="619" spans="4:56" ht="11.25" hidden="1">
      <c r="D619" s="13"/>
      <c r="BD619" s="33"/>
    </row>
    <row r="620" spans="4:56" ht="11.25" hidden="1">
      <c r="D620" s="13"/>
      <c r="BD620" s="33"/>
    </row>
    <row r="621" spans="4:56" ht="11.25" hidden="1">
      <c r="D621" s="13"/>
      <c r="BD621" s="33"/>
    </row>
    <row r="622" spans="4:56" ht="11.25" hidden="1">
      <c r="D622" s="13"/>
      <c r="BD622" s="33"/>
    </row>
    <row r="623" spans="4:56" ht="11.25" hidden="1">
      <c r="D623" s="13"/>
      <c r="BD623" s="33"/>
    </row>
    <row r="624" spans="4:56" ht="11.25" hidden="1">
      <c r="D624" s="13"/>
      <c r="BD624" s="33"/>
    </row>
    <row r="625" spans="4:56" ht="11.25" hidden="1">
      <c r="D625" s="13"/>
      <c r="BD625" s="33"/>
    </row>
    <row r="626" spans="4:56" ht="11.25" hidden="1">
      <c r="D626" s="13"/>
      <c r="BD626" s="33"/>
    </row>
    <row r="627" spans="4:56" ht="11.25" hidden="1">
      <c r="D627" s="13"/>
      <c r="BD627" s="33"/>
    </row>
    <row r="628" spans="4:56" ht="11.25" hidden="1">
      <c r="D628" s="13"/>
      <c r="BD628" s="33"/>
    </row>
    <row r="629" spans="4:56" ht="11.25" hidden="1">
      <c r="D629" s="13"/>
      <c r="BD629" s="33"/>
    </row>
    <row r="630" spans="4:56" ht="11.25" hidden="1">
      <c r="D630" s="13"/>
      <c r="BD630" s="33"/>
    </row>
    <row r="631" spans="4:56" ht="11.25" hidden="1">
      <c r="D631" s="13"/>
      <c r="BD631" s="33"/>
    </row>
    <row r="632" spans="4:56" ht="11.25" hidden="1">
      <c r="D632" s="13"/>
      <c r="BD632" s="33"/>
    </row>
    <row r="633" spans="4:56" ht="11.25" hidden="1">
      <c r="D633" s="13"/>
      <c r="BD633" s="33"/>
    </row>
    <row r="634" spans="4:56" ht="11.25" hidden="1">
      <c r="D634" s="13"/>
      <c r="BD634" s="33"/>
    </row>
    <row r="635" spans="4:56" ht="11.25" hidden="1">
      <c r="D635" s="13"/>
      <c r="BD635" s="33"/>
    </row>
    <row r="636" spans="4:56" ht="11.25" hidden="1">
      <c r="D636" s="13"/>
      <c r="BD636" s="33"/>
    </row>
    <row r="637" spans="4:56" ht="11.25" hidden="1">
      <c r="D637" s="13"/>
      <c r="BD637" s="33"/>
    </row>
    <row r="638" spans="4:56" ht="11.25" hidden="1">
      <c r="D638" s="13"/>
      <c r="BD638" s="33"/>
    </row>
    <row r="639" spans="4:56" ht="11.25" hidden="1">
      <c r="D639" s="13"/>
      <c r="BD639" s="33"/>
    </row>
    <row r="640" spans="4:56" ht="11.25" hidden="1">
      <c r="D640" s="13"/>
      <c r="BD640" s="33"/>
    </row>
    <row r="641" spans="4:56" ht="11.25" hidden="1">
      <c r="D641" s="13"/>
      <c r="BD641" s="33"/>
    </row>
    <row r="642" spans="4:56" ht="11.25" hidden="1">
      <c r="D642" s="13"/>
      <c r="BD642" s="33"/>
    </row>
    <row r="643" spans="4:56" ht="11.25" hidden="1">
      <c r="D643" s="13"/>
      <c r="BD643" s="33"/>
    </row>
    <row r="644" spans="4:56" ht="11.25" hidden="1">
      <c r="D644" s="13"/>
      <c r="BD644" s="33"/>
    </row>
    <row r="645" spans="4:56" ht="11.25" hidden="1">
      <c r="D645" s="13"/>
      <c r="BD645" s="33"/>
    </row>
    <row r="646" spans="4:56" ht="11.25" hidden="1">
      <c r="D646" s="13"/>
      <c r="BD646" s="33"/>
    </row>
    <row r="647" spans="4:56" ht="11.25" hidden="1">
      <c r="D647" s="13"/>
      <c r="BD647" s="33"/>
    </row>
    <row r="648" spans="4:56" ht="11.25" hidden="1">
      <c r="D648" s="13"/>
      <c r="BD648" s="33"/>
    </row>
    <row r="649" spans="4:56" ht="11.25" hidden="1">
      <c r="D649" s="13"/>
      <c r="BD649" s="33"/>
    </row>
    <row r="650" spans="4:56" ht="11.25" hidden="1">
      <c r="D650" s="13"/>
      <c r="BD650" s="33"/>
    </row>
    <row r="651" spans="4:56" ht="11.25" hidden="1">
      <c r="D651" s="13"/>
      <c r="BD651" s="33"/>
    </row>
    <row r="652" spans="4:56" ht="11.25" hidden="1">
      <c r="D652" s="13"/>
      <c r="BD652" s="33"/>
    </row>
    <row r="653" spans="4:56" ht="11.25" hidden="1">
      <c r="D653" s="13"/>
      <c r="BD653" s="33"/>
    </row>
    <row r="654" spans="4:56" ht="11.25" hidden="1">
      <c r="D654" s="13"/>
      <c r="BD654" s="33"/>
    </row>
    <row r="655" spans="4:56" ht="11.25" hidden="1">
      <c r="D655" s="13"/>
      <c r="BD655" s="33"/>
    </row>
    <row r="656" spans="4:56" ht="11.25" hidden="1">
      <c r="D656" s="13"/>
      <c r="BD656" s="33"/>
    </row>
    <row r="657" spans="4:56" ht="11.25" hidden="1">
      <c r="D657" s="13"/>
      <c r="BD657" s="33"/>
    </row>
    <row r="658" spans="4:56" ht="11.25" hidden="1">
      <c r="D658" s="13"/>
      <c r="BD658" s="33"/>
    </row>
    <row r="659" spans="4:56" ht="11.25" hidden="1">
      <c r="D659" s="13"/>
      <c r="BD659" s="33"/>
    </row>
    <row r="660" spans="4:56" ht="11.25" hidden="1">
      <c r="D660" s="13"/>
      <c r="BD660" s="33"/>
    </row>
    <row r="661" spans="4:56" ht="11.25" hidden="1">
      <c r="D661" s="13"/>
      <c r="BD661" s="33"/>
    </row>
    <row r="662" spans="4:56" ht="11.25" hidden="1">
      <c r="D662" s="13"/>
      <c r="BD662" s="33"/>
    </row>
    <row r="663" spans="4:56" ht="11.25" hidden="1">
      <c r="D663" s="13"/>
      <c r="BD663" s="33"/>
    </row>
    <row r="664" spans="4:56" ht="11.25" hidden="1">
      <c r="D664" s="13"/>
      <c r="BD664" s="33"/>
    </row>
    <row r="665" spans="4:56" ht="11.25" hidden="1">
      <c r="D665" s="13"/>
      <c r="BD665" s="33"/>
    </row>
    <row r="666" spans="4:56" ht="11.25" hidden="1">
      <c r="D666" s="13"/>
      <c r="BD666" s="33"/>
    </row>
    <row r="667" spans="4:56" ht="11.25" hidden="1">
      <c r="D667" s="13"/>
      <c r="BD667" s="33"/>
    </row>
    <row r="668" spans="4:56" ht="11.25" hidden="1">
      <c r="D668" s="13"/>
      <c r="BD668" s="33"/>
    </row>
    <row r="669" spans="4:56" ht="11.25" hidden="1">
      <c r="D669" s="13"/>
      <c r="BD669" s="33"/>
    </row>
    <row r="670" spans="4:56" ht="11.25" hidden="1">
      <c r="D670" s="13"/>
      <c r="BD670" s="33"/>
    </row>
    <row r="671" spans="4:56" ht="11.25" hidden="1">
      <c r="D671" s="13"/>
      <c r="BD671" s="33"/>
    </row>
    <row r="672" spans="4:56" ht="11.25" hidden="1">
      <c r="D672" s="13"/>
      <c r="BD672" s="33"/>
    </row>
    <row r="673" spans="4:56" ht="11.25" hidden="1">
      <c r="D673" s="13"/>
      <c r="BD673" s="33"/>
    </row>
    <row r="674" spans="4:56" ht="11.25" hidden="1">
      <c r="D674" s="13"/>
      <c r="BD674" s="33"/>
    </row>
    <row r="675" spans="4:56" ht="11.25" hidden="1">
      <c r="D675" s="13"/>
      <c r="BD675" s="33"/>
    </row>
    <row r="676" spans="4:56" ht="11.25" hidden="1">
      <c r="D676" s="13"/>
      <c r="BD676" s="33"/>
    </row>
    <row r="677" spans="4:56" ht="11.25" hidden="1">
      <c r="D677" s="13"/>
      <c r="BD677" s="33"/>
    </row>
    <row r="678" spans="4:56" ht="11.25" hidden="1">
      <c r="D678" s="13"/>
      <c r="BD678" s="33"/>
    </row>
    <row r="679" spans="4:56" ht="11.25" hidden="1">
      <c r="D679" s="13"/>
      <c r="BD679" s="33"/>
    </row>
    <row r="680" spans="4:56" ht="11.25" hidden="1">
      <c r="D680" s="13"/>
      <c r="BD680" s="33"/>
    </row>
    <row r="681" spans="4:56" ht="11.25" hidden="1">
      <c r="D681" s="13"/>
      <c r="BD681" s="33"/>
    </row>
    <row r="682" spans="4:56" ht="11.25" hidden="1">
      <c r="D682" s="13"/>
      <c r="BD682" s="33"/>
    </row>
    <row r="683" spans="4:56" ht="11.25" hidden="1">
      <c r="D683" s="13"/>
      <c r="BD683" s="33"/>
    </row>
    <row r="684" spans="4:56" ht="11.25" hidden="1">
      <c r="D684" s="13"/>
      <c r="BD684" s="33"/>
    </row>
    <row r="685" spans="4:56" ht="11.25" hidden="1">
      <c r="D685" s="13"/>
      <c r="BD685" s="33"/>
    </row>
    <row r="686" spans="4:56" ht="11.25" hidden="1">
      <c r="D686" s="13"/>
      <c r="BD686" s="33"/>
    </row>
    <row r="687" spans="4:56" ht="11.25" hidden="1">
      <c r="D687" s="13"/>
      <c r="BD687" s="33"/>
    </row>
    <row r="688" spans="4:56" ht="11.25" hidden="1">
      <c r="D688" s="13"/>
      <c r="BD688" s="33"/>
    </row>
    <row r="689" spans="4:56" ht="11.25" hidden="1">
      <c r="D689" s="13"/>
      <c r="BD689" s="33"/>
    </row>
    <row r="690" spans="4:56" ht="11.25" hidden="1">
      <c r="D690" s="13"/>
      <c r="BD690" s="33"/>
    </row>
    <row r="691" spans="4:56" ht="11.25" hidden="1">
      <c r="D691" s="13"/>
      <c r="BD691" s="33"/>
    </row>
    <row r="692" spans="4:56" ht="11.25" hidden="1">
      <c r="D692" s="13"/>
      <c r="BD692" s="33"/>
    </row>
    <row r="693" spans="4:56" ht="11.25" hidden="1">
      <c r="D693" s="13"/>
      <c r="BD693" s="33"/>
    </row>
    <row r="694" spans="4:56" ht="11.25" hidden="1">
      <c r="D694" s="13"/>
      <c r="BD694" s="33"/>
    </row>
    <row r="695" spans="4:56" ht="11.25" hidden="1">
      <c r="D695" s="13"/>
      <c r="BD695" s="33"/>
    </row>
    <row r="696" spans="4:56" ht="11.25" hidden="1">
      <c r="D696" s="13"/>
      <c r="BD696" s="33"/>
    </row>
    <row r="697" spans="4:56" ht="11.25" hidden="1">
      <c r="D697" s="13"/>
      <c r="BD697" s="33"/>
    </row>
    <row r="698" spans="4:56" ht="11.25" hidden="1">
      <c r="D698" s="13"/>
      <c r="BD698" s="33"/>
    </row>
    <row r="699" spans="4:56" ht="11.25" hidden="1">
      <c r="D699" s="13"/>
      <c r="BD699" s="33"/>
    </row>
    <row r="700" spans="4:56" ht="11.25" hidden="1">
      <c r="D700" s="13"/>
      <c r="BD700" s="33"/>
    </row>
    <row r="701" spans="4:56" ht="11.25" hidden="1">
      <c r="D701" s="13"/>
      <c r="BD701" s="33"/>
    </row>
    <row r="702" spans="4:56" ht="11.25" hidden="1">
      <c r="D702" s="13"/>
      <c r="BD702" s="33"/>
    </row>
    <row r="703" spans="4:56" ht="11.25" hidden="1">
      <c r="D703" s="13"/>
      <c r="BD703" s="33"/>
    </row>
    <row r="704" spans="4:56" ht="11.25" hidden="1">
      <c r="D704" s="13"/>
      <c r="BD704" s="33"/>
    </row>
    <row r="705" spans="4:56" ht="11.25" hidden="1">
      <c r="D705" s="13"/>
      <c r="BD705" s="33"/>
    </row>
    <row r="706" spans="4:56" ht="11.25" hidden="1">
      <c r="D706" s="13"/>
      <c r="BD706" s="33"/>
    </row>
    <row r="707" spans="4:56" ht="11.25" hidden="1">
      <c r="D707" s="13"/>
      <c r="BD707" s="33"/>
    </row>
    <row r="708" spans="4:56" ht="11.25" hidden="1">
      <c r="D708" s="13"/>
      <c r="BD708" s="33"/>
    </row>
    <row r="709" spans="4:56" ht="11.25" hidden="1">
      <c r="D709" s="13"/>
      <c r="BD709" s="33"/>
    </row>
    <row r="710" spans="4:56" ht="11.25" hidden="1">
      <c r="D710" s="13"/>
      <c r="BD710" s="33"/>
    </row>
    <row r="711" spans="4:56" ht="11.25" hidden="1">
      <c r="D711" s="13"/>
      <c r="BD711" s="33"/>
    </row>
    <row r="712" spans="4:56" ht="11.25" hidden="1">
      <c r="D712" s="13"/>
      <c r="BD712" s="33"/>
    </row>
    <row r="713" spans="4:56" ht="11.25" hidden="1">
      <c r="D713" s="13"/>
      <c r="BD713" s="33"/>
    </row>
    <row r="714" spans="4:56" ht="11.25" hidden="1">
      <c r="D714" s="13"/>
      <c r="BD714" s="33"/>
    </row>
    <row r="715" spans="4:56" ht="11.25" hidden="1">
      <c r="D715" s="13"/>
      <c r="BD715" s="33"/>
    </row>
    <row r="716" spans="4:56" ht="11.25" hidden="1">
      <c r="D716" s="13"/>
      <c r="BD716" s="33"/>
    </row>
    <row r="717" spans="4:56" ht="11.25" hidden="1">
      <c r="D717" s="13"/>
      <c r="BD717" s="33"/>
    </row>
    <row r="718" spans="4:56" ht="11.25" hidden="1">
      <c r="D718" s="13"/>
      <c r="BD718" s="33"/>
    </row>
    <row r="719" spans="4:56" ht="11.25" hidden="1">
      <c r="D719" s="13"/>
      <c r="BD719" s="33"/>
    </row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</sheetData>
  <sheetProtection/>
  <mergeCells count="3">
    <mergeCell ref="BC19:BD19"/>
    <mergeCell ref="A1:BF1"/>
    <mergeCell ref="A266:BE2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2016-02-02T11:48:04Z</cp:lastPrinted>
  <dcterms:created xsi:type="dcterms:W3CDTF">1999-04-28T20:01:57Z</dcterms:created>
  <dcterms:modified xsi:type="dcterms:W3CDTF">2016-02-02T11:49:15Z</dcterms:modified>
  <cp:category/>
  <cp:version/>
  <cp:contentType/>
  <cp:contentStatus/>
</cp:coreProperties>
</file>