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'írószer'!$19:$19</definedName>
  </definedNames>
  <calcPr fullCalcOnLoad="1"/>
</workbook>
</file>

<file path=xl/sharedStrings.xml><?xml version="1.0" encoding="utf-8"?>
<sst xmlns="http://schemas.openxmlformats.org/spreadsheetml/2006/main" count="849" uniqueCount="356">
  <si>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</si>
  <si>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</si>
  <si>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</si>
  <si>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</si>
  <si>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</si>
  <si>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</si>
  <si>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</si>
  <si>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</si>
  <si>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</si>
  <si>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</si>
  <si>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</si>
  <si>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</si>
  <si>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RW</t>
  </si>
  <si>
    <t>HB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</si>
  <si>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</si>
  <si>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</si>
  <si>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</si>
  <si>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</si>
  <si>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</si>
  <si>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</si>
  <si>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cso.</t>
  </si>
  <si>
    <t>FÉNYMÁSOLÓ PAPÍR (XEROX) 500 ív/cso.</t>
  </si>
  <si>
    <t>VONALZÓ (MŰANYAG)</t>
  </si>
  <si>
    <t>30 CM-ES</t>
  </si>
  <si>
    <t>TŰZŐGÉP KAPOCS 1000 db /doboz</t>
  </si>
  <si>
    <t>dob.</t>
  </si>
  <si>
    <t>tek.</t>
  </si>
  <si>
    <t>A/4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</si>
  <si>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</si>
  <si>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</si>
  <si>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</si>
  <si>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</si>
  <si>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</si>
  <si>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</si>
  <si>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</si>
  <si>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</si>
  <si>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</si>
  <si>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</si>
  <si>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</si>
  <si>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</si>
  <si>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</si>
  <si>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</si>
  <si>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</si>
  <si>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</si>
  <si>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</si>
  <si>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10-ES MÉRETŰ-KICSI</t>
  </si>
  <si>
    <t>10-ES MÉRETŰ KAPCSOS</t>
  </si>
  <si>
    <t>127X075 MM</t>
  </si>
  <si>
    <t>A/7</t>
  </si>
  <si>
    <t>KÉK SZÍNŰ BETÉTTEL</t>
  </si>
  <si>
    <t>PIROS SZÍNŰ BETÉTTEL</t>
  </si>
  <si>
    <t>GOLYÓSTOLL  BETÉT(SOLIDLY) KÉK</t>
  </si>
  <si>
    <t>PENTEL ULTRA FINE KÉK</t>
  </si>
  <si>
    <t>LC5 / FEHÉR SZÍNŰ</t>
  </si>
  <si>
    <t>LC6 / FEHÉR SZÍNŰ</t>
  </si>
  <si>
    <t>GOLYÓSTOLL (SIGNETTA) OLCSÓ</t>
  </si>
  <si>
    <t>VÁGOTTHEGYŰ-FEKETE</t>
  </si>
  <si>
    <t>25 MM-ES (12db/dob.)</t>
  </si>
  <si>
    <t>19 MM-ES (12db/dob.)</t>
  </si>
  <si>
    <t>15 MM-ES (12db/dob.)</t>
  </si>
  <si>
    <t>32 MM-ES (12db/dob.)</t>
  </si>
  <si>
    <t>CD-R LEMEZ (MŰANYAG VÉKONY TOKOS)</t>
  </si>
  <si>
    <t xml:space="preserve">700MB  (VERBATIM, TDK) </t>
  </si>
  <si>
    <t>ZSEBNOTESZ (SPIRÁLFŰZÉSES)</t>
  </si>
  <si>
    <t>PAPÍRSZALVÉTA (FEHÉR SZÍNŰ)</t>
  </si>
  <si>
    <t>MINŐSÉGI !</t>
  </si>
  <si>
    <t>KÖTÖZŐZSINEG</t>
  </si>
  <si>
    <t>A/4 / SZÍNES</t>
  </si>
  <si>
    <t xml:space="preserve">MŰANYAG, OLDALT PATENTOS TASAK </t>
  </si>
  <si>
    <t>LEFŰZHETŐ (BORÍTÉK JELLEGŰ)</t>
  </si>
  <si>
    <t>GENOTHERMA (OLDALT FELNYÍLÓ) A/4</t>
  </si>
  <si>
    <t>GENOTHERMA (2 OLDALON FELNYÍLÓ) A/4</t>
  </si>
  <si>
    <t>SZÖVEGKIEMELŐ (FABER CASTELL TEXTLINER)</t>
  </si>
  <si>
    <t xml:space="preserve">GOLYÓSTOLL (SOLIDLY) </t>
  </si>
  <si>
    <t>ETIKETT CIMKE A/4</t>
  </si>
  <si>
    <t>TŰZŐGÉP (KIS KAPCSOS) JÓ MINŐSÉGŰ !</t>
  </si>
  <si>
    <t>FEHÉR SZÍNŰ HÁTLAPPAL</t>
  </si>
  <si>
    <t>GENOTHERMA (LEFŰZHETŐS) VÍZTISZTA !</t>
  </si>
  <si>
    <t>LEFŰZHETŐ(VASTAG-ÁTLÁTSZÓ)</t>
  </si>
  <si>
    <t>4,2 MM SZÉLES / 5 MÉTERNÉL HOSSZABB !</t>
  </si>
  <si>
    <t>ZÖLD SZÍNŰ BETÉTTEL</t>
  </si>
  <si>
    <t>FÜZET (BEÍRÓ) VONALAS 200 LAPOS - PVC FEDELŰ</t>
  </si>
  <si>
    <t>MAPPA (VILLÁMZÁRAS) FEKETE SZÍNŰ</t>
  </si>
  <si>
    <t>ASZTALI KÖNYÖKLŐ NAPTÁR</t>
  </si>
  <si>
    <t>SZALAGOS IROMÁNYFEDÉL</t>
  </si>
  <si>
    <t>PENTEL ULTRA FINE ZÖLD</t>
  </si>
  <si>
    <t>GOLYÓSTOLL (ZEBRA SUPER FINE H8000)</t>
  </si>
  <si>
    <t>FÜZET (FRANCIA KOCKÁS)</t>
  </si>
  <si>
    <t>RAGASZTÓ SZALAG (HAVANNA) BARNA</t>
  </si>
  <si>
    <t>5CM SZÉLES</t>
  </si>
  <si>
    <t>SIMA (JOBB MINŐSÉGŰ !)</t>
  </si>
  <si>
    <t>FEHÉR SZÍNŰ 5 CM-ES</t>
  </si>
  <si>
    <t>HIBAJAVÍTÓ FESTÉK (ECSETES)</t>
  </si>
  <si>
    <t>HÍGÍTÓ NÉLKÜLI</t>
  </si>
  <si>
    <t>A/4 FEKVŐ HELYZETŰ</t>
  </si>
  <si>
    <t>FÜZET (VONALAS)</t>
  </si>
  <si>
    <t>GOLYÓSTOLL (4 SZÍNŰ)</t>
  </si>
  <si>
    <t>KLASSZIKUS</t>
  </si>
  <si>
    <t>ZÖLD SZÍNŰ 5 CM-ES</t>
  </si>
  <si>
    <t>PIROS SZÍNŰ HÁTLAPPAL</t>
  </si>
  <si>
    <t>ZÖLD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</si>
  <si>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</si>
  <si>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</si>
  <si>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</si>
  <si>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</si>
  <si>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</si>
  <si>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</si>
  <si>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</si>
  <si>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</si>
  <si>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FEKETE SZÍNŰ BETÉTTEL</t>
  </si>
  <si>
    <t>ZÖLD SZÍNŰ 7,5 CM-ES</t>
  </si>
  <si>
    <t>RAGASZTÓ (PILLANATRAGASZTÓ)</t>
  </si>
  <si>
    <t>ZÖLD</t>
  </si>
  <si>
    <t>RAGASZTÓ (TECHNOKOL RAPID)</t>
  </si>
  <si>
    <t>GOLYÓSTOLL BETÉT (ZEBRA F301) RÚGÓS</t>
  </si>
  <si>
    <t>KISS MÉRETŰ</t>
  </si>
  <si>
    <t>TC4 / FEHÉR SZÍNŰ</t>
  </si>
  <si>
    <t>DÁTUMBÉLYEGZŐ (TRODAT PRINTY 4810)</t>
  </si>
  <si>
    <t>X18</t>
  </si>
  <si>
    <t>CERUZAHEGYEZŐ (ASZTALI-KÉZI TEKERŐS)</t>
  </si>
  <si>
    <t>JOBB MINŐSÉGŰ !</t>
  </si>
  <si>
    <t>A/4 ÁLLÓ HELYZETŰ</t>
  </si>
  <si>
    <t>GOLYÓSTOLL (ÜGYFELES)</t>
  </si>
  <si>
    <t>FEHÉR SZÍNŰ 7, 5 CM-ES</t>
  </si>
  <si>
    <t>GÉMKAPOCS TARTÓ (NAGY MÉRETŰ)</t>
  </si>
  <si>
    <t>MÁGNESES</t>
  </si>
  <si>
    <t>ASZTALRA VÍZSZINTESEN HELYEZHETŐ !</t>
  </si>
  <si>
    <t>KÉK SZÍNŰ 7,5 CM-ES</t>
  </si>
  <si>
    <t>SÁRGA SZÍNŰ 7,5 CM-ES</t>
  </si>
  <si>
    <t>DELI 5556 TIPUSÚ (FOGANTYÚS, OLDALT PATENTOS)</t>
  </si>
  <si>
    <t>IRATRENDEZŐ TÁSKA (HARMÓNIKÁS BELSŐRÉSZ)</t>
  </si>
  <si>
    <t>ZSEBSZÁMOLÓGÉP</t>
  </si>
  <si>
    <t>CASIO MS-205</t>
  </si>
  <si>
    <t>FELÍRÓTÁBLA</t>
  </si>
  <si>
    <t>IRATSPIRÁL (MŰANYAG)</t>
  </si>
  <si>
    <t>6MM-ES (FEHÉR)</t>
  </si>
  <si>
    <t>10MM-ES (FEHÉR)</t>
  </si>
  <si>
    <t>19MM-ES (FEHÉR)</t>
  </si>
  <si>
    <t>A/4 FEHÉR</t>
  </si>
  <si>
    <t>LYUKASZTÓGÉP (SAX)</t>
  </si>
  <si>
    <t>IRATRENDEZŐ (TOKOS) NATÚR</t>
  </si>
  <si>
    <t>GOLYÓSTOLL (ZSELÉS) ICO MÁRKÁJÚ !</t>
  </si>
  <si>
    <t>LAPSZÉLJELÖLŐ (PAPIRBÓL) 3M POST IT</t>
  </si>
  <si>
    <t>20X50MM ( NEON SZÍNBEN!)</t>
  </si>
  <si>
    <t>2015 ÉVRE !</t>
  </si>
  <si>
    <t>DVD-R LEMEZ (MŰANYAG VÉKONY TOKOS)</t>
  </si>
  <si>
    <t>4,7GB (VERBATIM, TDK)</t>
  </si>
  <si>
    <t>KÉK SZÍNŰ 5 CM-ES</t>
  </si>
  <si>
    <t>SÁRGA SZÍNŰ 5 CM-ES</t>
  </si>
  <si>
    <t>HÁTLAP (IRATSPIRÁLOZÁSHOZ)</t>
  </si>
  <si>
    <t>PENTEL ULTRA FINE FEKETE</t>
  </si>
  <si>
    <t>VÁGOTTHEGYŰ-KÉK</t>
  </si>
  <si>
    <t>ROSTIRON FABER-CASTELL MULTIMARK 1526</t>
  </si>
  <si>
    <t>ETIKETT CIMKE A/12</t>
  </si>
  <si>
    <t>A/3 (80 GRAMM)</t>
  </si>
  <si>
    <t>105X037 MM</t>
  </si>
  <si>
    <t>099,1X57 MM</t>
  </si>
  <si>
    <t>052,5X29,7 MM</t>
  </si>
  <si>
    <t xml:space="preserve">KÉK SZÍNŰ </t>
  </si>
  <si>
    <t>TÉRKÉPTŰ</t>
  </si>
  <si>
    <t>PAPÍRVÁGÓ OLLÓ</t>
  </si>
  <si>
    <t>KÖZEPES MÉRETŰ</t>
  </si>
  <si>
    <t>BÉLYEGZŐPÁRNA (FEKETE SZÍNŰ)</t>
  </si>
  <si>
    <t>COLOP PRINTER 40 BÉLYEGZŐHÖZ !</t>
  </si>
  <si>
    <t>LAPSZÉLJELÖLŐ 3M POST IT</t>
  </si>
  <si>
    <t>4X20 DB CÍMKE/CSOMAG FÉL INCH SZÉLES</t>
  </si>
  <si>
    <t>HIBAJAVÍTÓ TOLL (PENTEL)</t>
  </si>
  <si>
    <t>RÓZSASZÍN</t>
  </si>
  <si>
    <t>A/4 / FEHÉR SZÍNŰ</t>
  </si>
  <si>
    <t>A/4 / SZÜRKE SZÍNŰ</t>
  </si>
  <si>
    <t xml:space="preserve">KÉK SZÍNŰ BETÉTTEL </t>
  </si>
  <si>
    <t>0,7,MM-ES</t>
  </si>
  <si>
    <t>1.</t>
  </si>
  <si>
    <t>2.</t>
  </si>
  <si>
    <t>3.</t>
  </si>
  <si>
    <t>7.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</si>
  <si>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</si>
  <si>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</si>
  <si>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</si>
  <si>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</si>
  <si>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</si>
  <si>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</si>
  <si>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</si>
  <si>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</si>
  <si>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</si>
  <si>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</si>
  <si>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</si>
  <si>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</si>
  <si>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</si>
  <si>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</si>
  <si>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</si>
  <si>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</si>
  <si>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</si>
  <si>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</si>
  <si>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</si>
  <si>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</si>
  <si>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</si>
  <si>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</si>
  <si>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</si>
  <si>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</si>
  <si>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</si>
  <si>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</si>
  <si>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</si>
  <si>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</si>
  <si>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</si>
  <si>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</si>
  <si>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</si>
  <si>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</si>
  <si>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</si>
  <si>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</si>
  <si>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</si>
  <si>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</si>
  <si>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</si>
  <si>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</si>
  <si>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</si>
  <si>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</si>
  <si>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</si>
  <si>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</si>
  <si>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</si>
  <si>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</si>
  <si>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</si>
  <si>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</si>
  <si>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</si>
  <si>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</si>
  <si>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</si>
  <si>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</si>
  <si>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</si>
  <si>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</si>
  <si>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</si>
  <si>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</si>
  <si>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</si>
  <si>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</si>
  <si>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</si>
  <si>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</si>
  <si>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</si>
  <si>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</si>
  <si>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</si>
  <si>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</si>
  <si>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</si>
  <si>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</si>
  <si>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</si>
  <si>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</si>
  <si>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</si>
  <si>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</si>
  <si>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</si>
  <si>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</si>
  <si>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</si>
  <si>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</si>
  <si>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</si>
  <si>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</si>
  <si>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</si>
  <si>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</si>
  <si>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</si>
  <si>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</si>
  <si>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</si>
  <si>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</si>
  <si>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</si>
  <si>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</si>
  <si>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</si>
  <si>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</si>
  <si>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</si>
  <si>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</si>
  <si>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</si>
  <si>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</si>
  <si>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</si>
  <si>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</si>
  <si>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</si>
  <si>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</si>
  <si>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</si>
  <si>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</si>
  <si>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</si>
  <si>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</si>
  <si>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</si>
  <si>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</si>
  <si>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</si>
  <si>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</si>
  <si>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</si>
  <si>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</si>
  <si>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</si>
  <si>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</si>
  <si>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</si>
  <si>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</si>
  <si>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</si>
  <si>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</si>
  <si>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</si>
  <si>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</si>
  <si>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</si>
  <si>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</si>
  <si>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</si>
  <si>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</si>
  <si>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</si>
  <si>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</si>
  <si>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</si>
  <si>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</si>
  <si>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</si>
  <si>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</si>
  <si>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MAGIC CLIPS (IRATCSÍPTETŐ KAPOCS) 50DB/DOBOZ</t>
  </si>
  <si>
    <t>6,4 MM-ES</t>
  </si>
  <si>
    <t>Sorszám</t>
  </si>
  <si>
    <t>Megnevezés</t>
  </si>
  <si>
    <t>Egyéb megnevezés, méret</t>
  </si>
  <si>
    <t>Mennyiség</t>
  </si>
  <si>
    <t>Oszlop1</t>
  </si>
  <si>
    <t>Oszlop2</t>
  </si>
  <si>
    <t>Oszlop3</t>
  </si>
  <si>
    <t>Oszlop4</t>
  </si>
  <si>
    <t>Oszlop5</t>
  </si>
  <si>
    <t>Oszlop6</t>
  </si>
  <si>
    <t>Oszlop7</t>
  </si>
  <si>
    <t>Oszlop8</t>
  </si>
  <si>
    <t>Oszlop9</t>
  </si>
  <si>
    <t>Oszlop10</t>
  </si>
  <si>
    <t>Oszlop11</t>
  </si>
  <si>
    <t>Oszlop12</t>
  </si>
  <si>
    <t>Oszlop13</t>
  </si>
  <si>
    <t>Oszlop14</t>
  </si>
  <si>
    <t>Oszlop15</t>
  </si>
  <si>
    <t>Oszlop16</t>
  </si>
  <si>
    <t>Oszlop17</t>
  </si>
  <si>
    <t>Oszlop18</t>
  </si>
  <si>
    <t>Oszlop19</t>
  </si>
  <si>
    <t>Oszlop20</t>
  </si>
  <si>
    <t>Oszlop21</t>
  </si>
  <si>
    <t>Oszlop22</t>
  </si>
  <si>
    <t>Oszlop23</t>
  </si>
  <si>
    <t>Oszlop24</t>
  </si>
  <si>
    <t>Oszlop25</t>
  </si>
  <si>
    <t>Oszlop26</t>
  </si>
  <si>
    <t>Oszlop27</t>
  </si>
  <si>
    <t>Oszlop28</t>
  </si>
  <si>
    <t>Oszlop29</t>
  </si>
  <si>
    <t>Oszlop30</t>
  </si>
  <si>
    <t>Oszlop31</t>
  </si>
  <si>
    <t>Oszlop32</t>
  </si>
  <si>
    <t>Oszlop33</t>
  </si>
  <si>
    <t>Oszlop34</t>
  </si>
  <si>
    <t>Oszlop35</t>
  </si>
  <si>
    <t>Oszlop36</t>
  </si>
  <si>
    <t>Oszlop37</t>
  </si>
  <si>
    <t>Oszlop38</t>
  </si>
  <si>
    <t>Oszlop39</t>
  </si>
  <si>
    <t>Oszlop40</t>
  </si>
  <si>
    <t>Oszlop41</t>
  </si>
  <si>
    <t>Oszlop42</t>
  </si>
  <si>
    <t>Oszlop43</t>
  </si>
  <si>
    <t>Oszlop44</t>
  </si>
  <si>
    <t>Oszlop45</t>
  </si>
  <si>
    <t>Oszlop46</t>
  </si>
  <si>
    <t>Oszlop47</t>
  </si>
  <si>
    <t>Oszlop48</t>
  </si>
  <si>
    <t>Oszlop49</t>
  </si>
  <si>
    <t>Egységár (Ft)</t>
  </si>
  <si>
    <t>Érték (Ft)</t>
  </si>
  <si>
    <t>Összesen:(Ft)</t>
  </si>
  <si>
    <t>2015 2. félév vállalati írószer beszerzés árajánlat bekérő</t>
  </si>
  <si>
    <t>Egység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</si>
</sst>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7" borderId="7" applyNumberFormat="0" applyFont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6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4" xfId="0" applyFont="1" applyFill="1" applyBorder="1" applyAlignment="1">
      <alignment horizontal="center"/>
    </xf>
    <xf numFmtId="0" fontId="4" fillId="32" borderId="14" xfId="0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0" fontId="4" fillId="32" borderId="16" xfId="0" applyFont="1" applyFill="1" applyBorder="1" applyAlignment="1">
      <alignment horizontal="center"/>
    </xf>
    <xf numFmtId="0" fontId="4" fillId="32" borderId="16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32" borderId="15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vertical="center"/>
    </xf>
    <xf numFmtId="0" fontId="3" fillId="32" borderId="16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/>
    </xf>
    <xf numFmtId="0" fontId="3" fillId="32" borderId="19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3" fillId="32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0" fontId="10" fillId="32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3" fillId="32" borderId="17" xfId="0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11" fillId="32" borderId="0" xfId="0" applyFont="1" applyFill="1" applyBorder="1" applyAlignment="1">
      <alignment horizontal="center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3" fillId="32" borderId="10" xfId="0" applyFont="1" applyFill="1" applyBorder="1" applyAlignment="1" applyProtection="1">
      <alignment vertical="center"/>
      <protection locked="0"/>
    </xf>
    <xf numFmtId="0" fontId="5" fillId="32" borderId="1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?bl?zat1" displayName="T?bl?zat1" ref="A19:BD291" comment="" totalsRowShown="0">
  <autoFilter ref="A19:BD291"/>
  <tableColumns count="56">
    <tableColumn id="1" name="Sorszám"/>
    <tableColumn id="2" name="Megnevezés"/>
    <tableColumn id="3" name="Egyéb megnevezés, méret"/>
    <tableColumn id="4" name="Oszlop1"/>
    <tableColumn id="5" name="Oszlop2"/>
    <tableColumn id="6" name="Oszlop3"/>
    <tableColumn id="7" name="Oszlop4"/>
    <tableColumn id="8" name="Oszlop5"/>
    <tableColumn id="9" name="Oszlop6"/>
    <tableColumn id="10" name="Oszlop7"/>
    <tableColumn id="11" name="Oszlop8"/>
    <tableColumn id="12" name="Oszlop9"/>
    <tableColumn id="13" name="Oszlop10"/>
    <tableColumn id="14" name="Oszlop11"/>
    <tableColumn id="15" name="Oszlop12"/>
    <tableColumn id="16" name="Oszlop13"/>
    <tableColumn id="17" name="Oszlop14"/>
    <tableColumn id="18" name="Oszlop15"/>
    <tableColumn id="19" name="Oszlop16"/>
    <tableColumn id="20" name="Oszlop17"/>
    <tableColumn id="21" name="Oszlop18"/>
    <tableColumn id="22" name="Oszlop19"/>
    <tableColumn id="23" name="Oszlop20"/>
    <tableColumn id="24" name="Oszlop21"/>
    <tableColumn id="25" name="Oszlop22"/>
    <tableColumn id="26" name="Oszlop23"/>
    <tableColumn id="27" name="Oszlop24"/>
    <tableColumn id="28" name="Oszlop25"/>
    <tableColumn id="29" name="Oszlop26"/>
    <tableColumn id="30" name="Oszlop27"/>
    <tableColumn id="31" name="Oszlop28"/>
    <tableColumn id="32" name="Oszlop29"/>
    <tableColumn id="33" name="Oszlop30"/>
    <tableColumn id="34" name="Oszlop31"/>
    <tableColumn id="35" name="Oszlop32"/>
    <tableColumn id="36" name="Oszlop33"/>
    <tableColumn id="37" name="Oszlop34"/>
    <tableColumn id="38" name="Oszlop35"/>
    <tableColumn id="39" name="Oszlop36"/>
    <tableColumn id="40" name="Oszlop37"/>
    <tableColumn id="41" name="Oszlop38"/>
    <tableColumn id="42" name="Oszlop39"/>
    <tableColumn id="43" name="Oszlop40"/>
    <tableColumn id="44" name="Oszlop41"/>
    <tableColumn id="45" name="Oszlop42"/>
    <tableColumn id="46" name="Oszlop43"/>
    <tableColumn id="47" name="Oszlop44"/>
    <tableColumn id="48" name="Oszlop45"/>
    <tableColumn id="49" name="Oszlop46"/>
    <tableColumn id="50" name="Oszlop47"/>
    <tableColumn id="51" name="Oszlop48"/>
    <tableColumn id="52" name="Oszlop49"/>
    <tableColumn id="54" name="Mennyiség"/>
    <tableColumn id="55" name="Egység"/>
    <tableColumn id="56" name="Egységár (Ft)"/>
    <tableColumn id="57" name="Érték (Ft)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A748"/>
  <sheetViews>
    <sheetView tabSelected="1" zoomScalePageLayoutView="0" workbookViewId="0" topLeftCell="A17">
      <selection activeCell="BA38" sqref="BA38"/>
    </sheetView>
  </sheetViews>
  <sheetFormatPr defaultColWidth="9.00390625" defaultRowHeight="12.75"/>
  <cols>
    <col min="1" max="1" width="7.25390625" style="26" bestFit="1" customWidth="1"/>
    <col min="2" max="2" width="37.875" style="1" customWidth="1"/>
    <col min="3" max="3" width="34.25390625" style="1" customWidth="1"/>
    <col min="4" max="4" width="4.75390625" style="12" hidden="1" customWidth="1"/>
    <col min="5" max="5" width="3.625" style="5" hidden="1" customWidth="1"/>
    <col min="6" max="6" width="3.00390625" style="8" hidden="1" customWidth="1"/>
    <col min="7" max="7" width="3.375" style="5" hidden="1" customWidth="1"/>
    <col min="8" max="8" width="4.375" style="5" hidden="1" customWidth="1"/>
    <col min="9" max="9" width="3.75390625" style="5" hidden="1" customWidth="1"/>
    <col min="10" max="10" width="4.25390625" style="5" hidden="1" customWidth="1"/>
    <col min="11" max="11" width="3.00390625" style="7" hidden="1" customWidth="1"/>
    <col min="12" max="12" width="3.75390625" style="2" hidden="1" customWidth="1"/>
    <col min="13" max="13" width="3.00390625" style="5" hidden="1" customWidth="1"/>
    <col min="14" max="14" width="3.00390625" style="2" hidden="1" customWidth="1"/>
    <col min="15" max="16" width="3.625" style="5" hidden="1" customWidth="1"/>
    <col min="17" max="17" width="3.00390625" style="5" hidden="1" customWidth="1"/>
    <col min="18" max="18" width="3.875" style="5" hidden="1" customWidth="1"/>
    <col min="19" max="19" width="3.625" style="5" hidden="1" customWidth="1"/>
    <col min="20" max="20" width="3.00390625" style="5" hidden="1" customWidth="1"/>
    <col min="21" max="21" width="3.375" style="5" hidden="1" customWidth="1"/>
    <col min="22" max="22" width="3.625" style="5" hidden="1" customWidth="1"/>
    <col min="23" max="23" width="4.00390625" style="5" hidden="1" customWidth="1"/>
    <col min="24" max="25" width="3.00390625" style="5" hidden="1" customWidth="1"/>
    <col min="26" max="26" width="3.375" style="11" hidden="1" customWidth="1"/>
    <col min="27" max="33" width="3.375" style="5" hidden="1" customWidth="1"/>
    <col min="34" max="34" width="3.625" style="5" hidden="1" customWidth="1"/>
    <col min="35" max="35" width="3.25390625" style="5" hidden="1" customWidth="1"/>
    <col min="36" max="36" width="3.25390625" style="3" hidden="1" customWidth="1"/>
    <col min="37" max="37" width="3.375" style="2" hidden="1" customWidth="1"/>
    <col min="38" max="38" width="3.375" style="7" hidden="1" customWidth="1"/>
    <col min="39" max="39" width="3.375" style="2" hidden="1" customWidth="1"/>
    <col min="40" max="40" width="3.625" style="5" hidden="1" customWidth="1"/>
    <col min="41" max="41" width="3.375" style="5" hidden="1" customWidth="1"/>
    <col min="42" max="42" width="3.625" style="5" hidden="1" customWidth="1"/>
    <col min="43" max="45" width="3.375" style="5" hidden="1" customWidth="1"/>
    <col min="46" max="48" width="3.375" style="16" hidden="1" customWidth="1"/>
    <col min="49" max="52" width="3.375" style="5" hidden="1" customWidth="1"/>
    <col min="53" max="53" width="9.875" style="57" customWidth="1"/>
    <col min="54" max="54" width="7.125" style="63" customWidth="1"/>
    <col min="55" max="55" width="16.125" style="2" customWidth="1"/>
    <col min="56" max="56" width="16.75390625" style="1" customWidth="1"/>
    <col min="57" max="63" width="3.00390625" style="1" hidden="1" customWidth="1"/>
    <col min="64" max="103" width="0" style="1" hidden="1" customWidth="1"/>
    <col min="104" max="104" width="3.875" style="1" hidden="1" customWidth="1"/>
    <col min="105" max="105" width="1.75390625" style="1" hidden="1" customWidth="1"/>
    <col min="106" max="106" width="3.875" style="1" hidden="1" customWidth="1"/>
    <col min="107" max="108" width="1.75390625" style="1" hidden="1" customWidth="1"/>
    <col min="109" max="112" width="0" style="1" hidden="1" customWidth="1"/>
    <col min="113" max="16384" width="9.125" style="1" customWidth="1"/>
  </cols>
  <sheetData>
    <row r="1" spans="1:55" s="9" customFormat="1" ht="11.25" hidden="1">
      <c r="A1" s="24"/>
      <c r="B1" s="9" t="str">
        <f>"AJÁNDÉK TASAK"</f>
        <v>AJÁNDÉK TASAK</v>
      </c>
      <c r="D1" s="17"/>
      <c r="E1" s="4"/>
      <c r="F1" s="17" t="s">
        <v>38</v>
      </c>
      <c r="G1" s="17"/>
      <c r="H1" s="4"/>
      <c r="I1" s="4"/>
      <c r="J1" s="4"/>
      <c r="K1" s="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10"/>
      <c r="AA1" s="4"/>
      <c r="AB1" s="4"/>
      <c r="AC1" s="4"/>
      <c r="AD1" s="4"/>
      <c r="AE1" s="4"/>
      <c r="AF1" s="4"/>
      <c r="AG1" s="4"/>
      <c r="AH1" s="4"/>
      <c r="AI1" s="4"/>
      <c r="AJ1" s="6"/>
      <c r="AK1" s="4"/>
      <c r="AL1" s="6"/>
      <c r="AM1" s="4"/>
      <c r="AN1" s="4"/>
      <c r="AO1" s="4"/>
      <c r="AP1" s="4"/>
      <c r="AQ1" s="4"/>
      <c r="AR1" s="4"/>
      <c r="AS1" s="4"/>
      <c r="AT1" s="18"/>
      <c r="AU1" s="18"/>
      <c r="AV1" s="18"/>
      <c r="AW1" s="4"/>
      <c r="AX1" s="4"/>
      <c r="AY1" s="4"/>
      <c r="AZ1" s="4"/>
      <c r="BA1" s="55"/>
      <c r="BB1" s="56"/>
      <c r="BC1" s="4"/>
    </row>
    <row r="2" spans="1:55" s="9" customFormat="1" ht="11.25" hidden="1">
      <c r="A2" s="24"/>
      <c r="B2" s="9" t="str">
        <f>"ALÁÍRÓKÖNYV (A4)"</f>
        <v>ALÁÍRÓKÖNYV (A4)</v>
      </c>
      <c r="C2" s="9" t="str">
        <f>"SAVARIA"</f>
        <v>SAVARIA</v>
      </c>
      <c r="D2" s="17"/>
      <c r="E2" s="4"/>
      <c r="F2" s="17" t="s">
        <v>38</v>
      </c>
      <c r="G2" s="4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10"/>
      <c r="AA2" s="4"/>
      <c r="AB2" s="4"/>
      <c r="AC2" s="4"/>
      <c r="AD2" s="4"/>
      <c r="AE2" s="4"/>
      <c r="AF2" s="4"/>
      <c r="AG2" s="4"/>
      <c r="AH2" s="4"/>
      <c r="AI2" s="4"/>
      <c r="AJ2" s="6"/>
      <c r="AK2" s="4"/>
      <c r="AL2" s="6"/>
      <c r="AM2" s="4"/>
      <c r="AN2" s="4"/>
      <c r="AO2" s="4"/>
      <c r="AP2" s="4"/>
      <c r="AQ2" s="4"/>
      <c r="AR2" s="4"/>
      <c r="AS2" s="4"/>
      <c r="AT2" s="18"/>
      <c r="AU2" s="18"/>
      <c r="AV2" s="18"/>
      <c r="AW2" s="4"/>
      <c r="AX2" s="4"/>
      <c r="AY2" s="4"/>
      <c r="AZ2" s="4"/>
      <c r="BA2" s="55"/>
      <c r="BB2" s="56"/>
      <c r="BC2" s="4"/>
    </row>
    <row r="3" spans="1:55" s="8" customFormat="1" ht="11.25" hidden="1">
      <c r="A3" s="24"/>
      <c r="B3" s="9" t="str">
        <f>"ARCHIVÁLÓ KONTÉNER"</f>
        <v>ARCHIVÁLÓ KONTÉNER</v>
      </c>
      <c r="C3" s="9"/>
      <c r="D3" s="20"/>
      <c r="E3" s="5"/>
      <c r="F3" s="1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  <c r="AA3" s="5"/>
      <c r="AB3" s="5"/>
      <c r="AC3" s="5"/>
      <c r="AD3" s="5"/>
      <c r="AE3" s="5"/>
      <c r="AF3" s="5"/>
      <c r="AG3" s="5"/>
      <c r="AH3" s="5"/>
      <c r="AI3" s="5"/>
      <c r="AJ3" s="17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7">
        <f aca="true" t="shared" si="0" ref="BA3:BA16">SUM(E3:AZ3)</f>
        <v>0</v>
      </c>
      <c r="BB3" s="58"/>
      <c r="BC3" s="5"/>
    </row>
    <row r="4" spans="1:55" s="8" customFormat="1" ht="11.25" hidden="1">
      <c r="A4" s="24"/>
      <c r="B4" s="9" t="str">
        <f>"ÁTÍRÓTÖMB"</f>
        <v>ÁTÍRÓTÖMB</v>
      </c>
      <c r="C4" s="9" t="str">
        <f>"A/5 (50X3)"</f>
        <v>A/5 (50X3)</v>
      </c>
      <c r="D4" s="20"/>
      <c r="E4" s="5"/>
      <c r="F4" s="1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  <c r="AA4" s="5"/>
      <c r="AB4" s="5"/>
      <c r="AC4" s="5"/>
      <c r="AD4" s="5"/>
      <c r="AE4" s="5"/>
      <c r="AF4" s="5"/>
      <c r="AG4" s="5"/>
      <c r="AH4" s="5"/>
      <c r="AI4" s="5"/>
      <c r="AJ4" s="17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7">
        <f t="shared" si="0"/>
        <v>0</v>
      </c>
      <c r="BB4" s="58"/>
      <c r="BC4" s="5"/>
    </row>
    <row r="5" spans="1:55" s="8" customFormat="1" ht="11.25" hidden="1">
      <c r="A5" s="24"/>
      <c r="B5" s="9" t="str">
        <f>"ÁTÍRÓTÖMB (ÖNÁTÍRÓS)"</f>
        <v>ÁTÍRÓTÖMB (ÖNÁTÍRÓS)</v>
      </c>
      <c r="C5" s="9" t="str">
        <f>"A/4 (50X2)"</f>
        <v>A/4 (50X2)</v>
      </c>
      <c r="D5" s="20"/>
      <c r="E5" s="5"/>
      <c r="F5" s="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  <c r="AA5" s="5"/>
      <c r="AB5" s="5"/>
      <c r="AC5" s="5"/>
      <c r="AD5" s="5"/>
      <c r="AE5" s="5"/>
      <c r="AF5" s="5"/>
      <c r="AG5" s="5"/>
      <c r="AH5" s="5"/>
      <c r="AI5" s="5"/>
      <c r="AJ5" s="1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7">
        <f t="shared" si="0"/>
        <v>0</v>
      </c>
      <c r="BB5" s="58"/>
      <c r="BC5" s="5"/>
    </row>
    <row r="6" spans="1:55" s="9" customFormat="1" ht="11.25" hidden="1">
      <c r="A6" s="24"/>
      <c r="B6" s="9" t="str">
        <f>"BELFÖLDI KIKÜLDETÉSI RENDELVÉNY"</f>
        <v>BELFÖLDI KIKÜLDETÉSI RENDELVÉNY</v>
      </c>
      <c r="C6" s="9" t="str">
        <f>"(B.18-70/új)"</f>
        <v>(B.18-70/új)</v>
      </c>
      <c r="D6" s="20"/>
      <c r="E6" s="4"/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0"/>
      <c r="AA6" s="4"/>
      <c r="AB6" s="4"/>
      <c r="AC6" s="4"/>
      <c r="AD6" s="4"/>
      <c r="AE6" s="4"/>
      <c r="AF6" s="4"/>
      <c r="AG6" s="4"/>
      <c r="AH6" s="4"/>
      <c r="AI6" s="4"/>
      <c r="AJ6" s="17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57">
        <f t="shared" si="0"/>
        <v>0</v>
      </c>
      <c r="BB6" s="58"/>
      <c r="BC6" s="4"/>
    </row>
    <row r="7" spans="1:55" s="9" customFormat="1" ht="11.25" hidden="1">
      <c r="A7" s="24"/>
      <c r="B7" s="9" t="str">
        <f>"BÉLYEGZŐ"</f>
        <v>BÉLYEGZŐ</v>
      </c>
      <c r="C7" s="9" t="str">
        <f>"COLOP 20"</f>
        <v>COLOP 20</v>
      </c>
      <c r="D7" s="20"/>
      <c r="E7" s="4"/>
      <c r="F7" s="17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0"/>
      <c r="AA7" s="4"/>
      <c r="AB7" s="4"/>
      <c r="AC7" s="4"/>
      <c r="AD7" s="4"/>
      <c r="AE7" s="4"/>
      <c r="AF7" s="4"/>
      <c r="AG7" s="4"/>
      <c r="AH7" s="4"/>
      <c r="AI7" s="4"/>
      <c r="AJ7" s="17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57">
        <f t="shared" si="0"/>
        <v>0</v>
      </c>
      <c r="BB7" s="58"/>
      <c r="BC7" s="4"/>
    </row>
    <row r="8" spans="1:55" s="9" customFormat="1" ht="11.25" hidden="1">
      <c r="A8" s="24"/>
      <c r="B8" s="9" t="str">
        <f>"BÉLYEGZŐ (DÁTUM)"</f>
        <v>BÉLYEGZŐ (DÁTUM)</v>
      </c>
      <c r="C8" s="9" t="str">
        <f>"COLOP S120"</f>
        <v>COLOP S120</v>
      </c>
      <c r="D8" s="20"/>
      <c r="E8" s="4"/>
      <c r="F8" s="1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10"/>
      <c r="AA8" s="4"/>
      <c r="AB8" s="4"/>
      <c r="AC8" s="4"/>
      <c r="AD8" s="4"/>
      <c r="AE8" s="4"/>
      <c r="AF8" s="4"/>
      <c r="AG8" s="4"/>
      <c r="AH8" s="4"/>
      <c r="AI8" s="4"/>
      <c r="AJ8" s="17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57">
        <f t="shared" si="0"/>
        <v>0</v>
      </c>
      <c r="BB8" s="58"/>
      <c r="BC8" s="4"/>
    </row>
    <row r="9" spans="1:55" s="9" customFormat="1" ht="11.25" hidden="1">
      <c r="A9" s="24"/>
      <c r="B9" s="9" t="str">
        <f aca="true" t="shared" si="1" ref="B9:B16">"BÉLYEGZŐPÁRNA"</f>
        <v>BÉLYEGZŐPÁRNA</v>
      </c>
      <c r="C9" s="9" t="str">
        <f>"COLOP BP. 4912"</f>
        <v>COLOP BP. 4912</v>
      </c>
      <c r="D9" s="20"/>
      <c r="E9" s="4"/>
      <c r="F9" s="1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0"/>
      <c r="AA9" s="4"/>
      <c r="AB9" s="4"/>
      <c r="AC9" s="4"/>
      <c r="AD9" s="4"/>
      <c r="AE9" s="4"/>
      <c r="AF9" s="4"/>
      <c r="AG9" s="4"/>
      <c r="AH9" s="4"/>
      <c r="AI9" s="4"/>
      <c r="AJ9" s="17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57">
        <f t="shared" si="0"/>
        <v>0</v>
      </c>
      <c r="BB9" s="58"/>
      <c r="BC9" s="4"/>
    </row>
    <row r="10" spans="1:55" s="9" customFormat="1" ht="11.25" hidden="1">
      <c r="A10" s="24"/>
      <c r="B10" s="9" t="str">
        <f t="shared" si="1"/>
        <v>BÉLYEGZŐPÁRNA</v>
      </c>
      <c r="C10" s="9" t="str">
        <f>"COLOP BP. 4913"</f>
        <v>COLOP BP. 4913</v>
      </c>
      <c r="D10" s="20"/>
      <c r="E10" s="4"/>
      <c r="F10" s="1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0"/>
      <c r="AA10" s="4"/>
      <c r="AB10" s="4"/>
      <c r="AC10" s="4"/>
      <c r="AD10" s="4"/>
      <c r="AE10" s="4"/>
      <c r="AF10" s="4"/>
      <c r="AG10" s="4"/>
      <c r="AH10" s="4"/>
      <c r="AI10" s="4"/>
      <c r="AJ10" s="17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57">
        <f t="shared" si="0"/>
        <v>0</v>
      </c>
      <c r="BB10" s="58"/>
      <c r="BC10" s="4"/>
    </row>
    <row r="11" spans="1:55" s="9" customFormat="1" ht="11.25" hidden="1">
      <c r="A11" s="24"/>
      <c r="B11" s="9" t="str">
        <f t="shared" si="1"/>
        <v>BÉLYEGZŐPÁRNA</v>
      </c>
      <c r="C11" s="9" t="str">
        <f>"COLOP E 10"</f>
        <v>COLOP E 10</v>
      </c>
      <c r="D11" s="20"/>
      <c r="E11" s="4"/>
      <c r="F11" s="17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0"/>
      <c r="AA11" s="4"/>
      <c r="AB11" s="4"/>
      <c r="AC11" s="4"/>
      <c r="AD11" s="4"/>
      <c r="AE11" s="4"/>
      <c r="AF11" s="4"/>
      <c r="AG11" s="4"/>
      <c r="AH11" s="4"/>
      <c r="AI11" s="4"/>
      <c r="AJ11" s="17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57">
        <f t="shared" si="0"/>
        <v>0</v>
      </c>
      <c r="BB11" s="58"/>
      <c r="BC11" s="4"/>
    </row>
    <row r="12" spans="1:55" s="9" customFormat="1" ht="11.25" hidden="1">
      <c r="A12" s="24"/>
      <c r="B12" s="9" t="str">
        <f t="shared" si="1"/>
        <v>BÉLYEGZŐPÁRNA</v>
      </c>
      <c r="C12" s="9" t="str">
        <f>"COLOP E 30"</f>
        <v>COLOP E 30</v>
      </c>
      <c r="D12" s="20"/>
      <c r="E12" s="4"/>
      <c r="F12" s="1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0"/>
      <c r="AA12" s="4"/>
      <c r="AB12" s="4"/>
      <c r="AC12" s="4"/>
      <c r="AD12" s="4"/>
      <c r="AE12" s="4"/>
      <c r="AF12" s="4"/>
      <c r="AG12" s="4"/>
      <c r="AH12" s="4"/>
      <c r="AI12" s="4"/>
      <c r="AJ12" s="17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57">
        <f t="shared" si="0"/>
        <v>0</v>
      </c>
      <c r="BB12" s="58"/>
      <c r="BC12" s="4"/>
    </row>
    <row r="13" spans="1:55" s="9" customFormat="1" ht="11.25" hidden="1">
      <c r="A13" s="24"/>
      <c r="B13" s="9" t="str">
        <f t="shared" si="1"/>
        <v>BÉLYEGZŐPÁRNA</v>
      </c>
      <c r="C13" s="9" t="str">
        <f>"COLOP E 40"</f>
        <v>COLOP E 40</v>
      </c>
      <c r="D13" s="20"/>
      <c r="E13" s="4"/>
      <c r="F13" s="1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10"/>
      <c r="AA13" s="4"/>
      <c r="AB13" s="4"/>
      <c r="AC13" s="4"/>
      <c r="AD13" s="4"/>
      <c r="AE13" s="4"/>
      <c r="AF13" s="4"/>
      <c r="AG13" s="4"/>
      <c r="AH13" s="4"/>
      <c r="AI13" s="4"/>
      <c r="AJ13" s="1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57">
        <f t="shared" si="0"/>
        <v>0</v>
      </c>
      <c r="BB13" s="58"/>
      <c r="BC13" s="4"/>
    </row>
    <row r="14" spans="1:55" s="9" customFormat="1" ht="11.25" hidden="1">
      <c r="A14" s="24"/>
      <c r="B14" s="9" t="str">
        <f t="shared" si="1"/>
        <v>BÉLYEGZŐPÁRNA</v>
      </c>
      <c r="C14" s="9" t="str">
        <f>"KORES"</f>
        <v>KORES</v>
      </c>
      <c r="D14" s="20"/>
      <c r="E14" s="4"/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10"/>
      <c r="AA14" s="4"/>
      <c r="AB14" s="4"/>
      <c r="AC14" s="4"/>
      <c r="AD14" s="4"/>
      <c r="AE14" s="4"/>
      <c r="AF14" s="4"/>
      <c r="AG14" s="4"/>
      <c r="AH14" s="4"/>
      <c r="AI14" s="4"/>
      <c r="AJ14" s="1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57">
        <f t="shared" si="0"/>
        <v>0</v>
      </c>
      <c r="BB14" s="58"/>
      <c r="BC14" s="4"/>
    </row>
    <row r="15" spans="1:55" s="9" customFormat="1" ht="11.25" hidden="1">
      <c r="A15" s="24"/>
      <c r="B15" s="9" t="str">
        <f t="shared" si="1"/>
        <v>BÉLYEGZŐPÁRNA</v>
      </c>
      <c r="C15" s="9" t="str">
        <f>"LACO"</f>
        <v>LACO</v>
      </c>
      <c r="D15" s="20"/>
      <c r="E15" s="4"/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10"/>
      <c r="AA15" s="4"/>
      <c r="AB15" s="4"/>
      <c r="AC15" s="4"/>
      <c r="AD15" s="4"/>
      <c r="AE15" s="4"/>
      <c r="AF15" s="4"/>
      <c r="AG15" s="4"/>
      <c r="AH15" s="4"/>
      <c r="AI15" s="4"/>
      <c r="AJ15" s="17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57">
        <f t="shared" si="0"/>
        <v>0</v>
      </c>
      <c r="BB15" s="58"/>
      <c r="BC15" s="4"/>
    </row>
    <row r="16" spans="1:56" s="9" customFormat="1" ht="11.25" hidden="1">
      <c r="A16" s="48"/>
      <c r="B16" s="49" t="str">
        <f t="shared" si="1"/>
        <v>BÉLYEGZŐPÁRNA</v>
      </c>
      <c r="C16" s="49" t="str">
        <f>"TRODAT 4912"</f>
        <v>TRODAT 4912</v>
      </c>
      <c r="D16" s="37"/>
      <c r="E16" s="50"/>
      <c r="F16" s="5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2"/>
      <c r="AA16" s="50"/>
      <c r="AB16" s="50"/>
      <c r="AC16" s="50"/>
      <c r="AD16" s="50"/>
      <c r="AE16" s="50"/>
      <c r="AF16" s="50"/>
      <c r="AG16" s="50"/>
      <c r="AH16" s="50"/>
      <c r="AI16" s="50"/>
      <c r="AJ16" s="51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9">
        <f t="shared" si="0"/>
        <v>0</v>
      </c>
      <c r="BB16" s="60"/>
      <c r="BC16" s="50"/>
      <c r="BD16" s="49"/>
    </row>
    <row r="17" spans="1:57" s="9" customFormat="1" ht="12.75" customHeight="1">
      <c r="A17" s="77" t="s">
        <v>354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43"/>
    </row>
    <row r="18" spans="1:57" s="9" customFormat="1" ht="11.25">
      <c r="A18" s="44"/>
      <c r="B18" s="45"/>
      <c r="C18" s="45"/>
      <c r="D18" s="46"/>
      <c r="E18" s="47"/>
      <c r="F18" s="34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34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61"/>
      <c r="BB18" s="62"/>
      <c r="BC18" s="47"/>
      <c r="BD18" s="72"/>
      <c r="BE18" s="43"/>
    </row>
    <row r="19" spans="1:57" s="4" customFormat="1" ht="11.25">
      <c r="A19" s="30" t="s">
        <v>298</v>
      </c>
      <c r="B19" s="31" t="s">
        <v>299</v>
      </c>
      <c r="C19" s="31" t="s">
        <v>300</v>
      </c>
      <c r="D19" s="32" t="s">
        <v>302</v>
      </c>
      <c r="E19" s="31" t="s">
        <v>303</v>
      </c>
      <c r="F19" s="33" t="s">
        <v>304</v>
      </c>
      <c r="G19" s="31" t="s">
        <v>305</v>
      </c>
      <c r="H19" s="31" t="s">
        <v>306</v>
      </c>
      <c r="I19" s="31" t="s">
        <v>307</v>
      </c>
      <c r="J19" s="31" t="s">
        <v>308</v>
      </c>
      <c r="K19" s="31" t="s">
        <v>309</v>
      </c>
      <c r="L19" s="31" t="s">
        <v>310</v>
      </c>
      <c r="M19" s="31" t="s">
        <v>311</v>
      </c>
      <c r="N19" s="31" t="s">
        <v>312</v>
      </c>
      <c r="O19" s="31" t="s">
        <v>313</v>
      </c>
      <c r="P19" s="31" t="s">
        <v>314</v>
      </c>
      <c r="Q19" s="31" t="s">
        <v>315</v>
      </c>
      <c r="R19" s="31" t="s">
        <v>316</v>
      </c>
      <c r="S19" s="31" t="s">
        <v>317</v>
      </c>
      <c r="T19" s="31" t="s">
        <v>318</v>
      </c>
      <c r="U19" s="31" t="s">
        <v>319</v>
      </c>
      <c r="V19" s="31" t="s">
        <v>320</v>
      </c>
      <c r="W19" s="31" t="s">
        <v>321</v>
      </c>
      <c r="X19" s="31" t="s">
        <v>322</v>
      </c>
      <c r="Y19" s="31" t="s">
        <v>323</v>
      </c>
      <c r="Z19" s="31" t="s">
        <v>324</v>
      </c>
      <c r="AA19" s="31" t="s">
        <v>325</v>
      </c>
      <c r="AB19" s="31" t="s">
        <v>326</v>
      </c>
      <c r="AC19" s="31" t="s">
        <v>327</v>
      </c>
      <c r="AD19" s="31" t="s">
        <v>328</v>
      </c>
      <c r="AE19" s="31" t="s">
        <v>329</v>
      </c>
      <c r="AF19" s="31" t="s">
        <v>330</v>
      </c>
      <c r="AG19" s="31" t="s">
        <v>331</v>
      </c>
      <c r="AH19" s="31" t="s">
        <v>332</v>
      </c>
      <c r="AI19" s="31" t="s">
        <v>333</v>
      </c>
      <c r="AJ19" s="33" t="s">
        <v>334</v>
      </c>
      <c r="AK19" s="31" t="s">
        <v>335</v>
      </c>
      <c r="AL19" s="31" t="s">
        <v>336</v>
      </c>
      <c r="AM19" s="31" t="s">
        <v>337</v>
      </c>
      <c r="AN19" s="31" t="s">
        <v>338</v>
      </c>
      <c r="AO19" s="31" t="s">
        <v>339</v>
      </c>
      <c r="AP19" s="31" t="s">
        <v>340</v>
      </c>
      <c r="AQ19" s="31" t="s">
        <v>341</v>
      </c>
      <c r="AR19" s="31" t="s">
        <v>342</v>
      </c>
      <c r="AS19" s="31" t="s">
        <v>343</v>
      </c>
      <c r="AT19" s="31" t="s">
        <v>344</v>
      </c>
      <c r="AU19" s="31" t="s">
        <v>345</v>
      </c>
      <c r="AV19" s="31" t="s">
        <v>346</v>
      </c>
      <c r="AW19" s="31" t="s">
        <v>347</v>
      </c>
      <c r="AX19" s="31" t="s">
        <v>348</v>
      </c>
      <c r="AY19" s="31" t="s">
        <v>349</v>
      </c>
      <c r="AZ19" s="31" t="s">
        <v>350</v>
      </c>
      <c r="BA19" s="78" t="s">
        <v>301</v>
      </c>
      <c r="BB19" s="78" t="s">
        <v>355</v>
      </c>
      <c r="BC19" s="64" t="s">
        <v>351</v>
      </c>
      <c r="BD19" s="67" t="s">
        <v>352</v>
      </c>
      <c r="BE19" s="10"/>
    </row>
    <row r="20" spans="1:57" s="9" customFormat="1" ht="11.25">
      <c r="A20" s="28" t="s">
        <v>172</v>
      </c>
      <c r="B20" s="9" t="str">
        <f>"ÁRAZÓSZALAG"</f>
        <v>ÁRAZÓSZALAG</v>
      </c>
      <c r="D20" s="17" t="s">
        <v>26</v>
      </c>
      <c r="E20" s="4">
        <v>4</v>
      </c>
      <c r="F20" s="1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17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79">
        <f aca="true" t="shared" si="2" ref="BA20:BA51">SUM(E20:AZ20)</f>
        <v>4</v>
      </c>
      <c r="BB20" s="80" t="s">
        <v>26</v>
      </c>
      <c r="BC20" s="65"/>
      <c r="BD20" s="73"/>
      <c r="BE20" s="53"/>
    </row>
    <row r="21" spans="1:57" s="8" customFormat="1" ht="11.25">
      <c r="A21" s="28" t="s">
        <v>173</v>
      </c>
      <c r="B21" s="9" t="s">
        <v>83</v>
      </c>
      <c r="C21" s="9" t="s">
        <v>144</v>
      </c>
      <c r="D21" s="20" t="s">
        <v>19</v>
      </c>
      <c r="E21" s="5"/>
      <c r="F21" s="1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1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17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7">
        <f t="shared" si="2"/>
        <v>1</v>
      </c>
      <c r="BB21" s="58" t="s">
        <v>19</v>
      </c>
      <c r="BC21" s="65"/>
      <c r="BD21" s="73"/>
      <c r="BE21" s="53"/>
    </row>
    <row r="22" spans="1:57" s="8" customFormat="1" ht="11.25">
      <c r="A22" s="28" t="s">
        <v>174</v>
      </c>
      <c r="B22" s="8" t="s">
        <v>162</v>
      </c>
      <c r="C22" s="8" t="s">
        <v>163</v>
      </c>
      <c r="D22" s="20" t="s">
        <v>19</v>
      </c>
      <c r="E22" s="5"/>
      <c r="F22" s="17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17"/>
      <c r="AK22" s="5"/>
      <c r="AL22" s="5"/>
      <c r="AM22" s="5"/>
      <c r="AN22" s="5"/>
      <c r="AO22" s="5"/>
      <c r="AP22" s="5"/>
      <c r="AQ22" s="5"/>
      <c r="AR22" s="5"/>
      <c r="AS22" s="5">
        <v>1</v>
      </c>
      <c r="AT22" s="5"/>
      <c r="AU22" s="5"/>
      <c r="AV22" s="5"/>
      <c r="AW22" s="5"/>
      <c r="AX22" s="5"/>
      <c r="AY22" s="5"/>
      <c r="AZ22" s="5"/>
      <c r="BA22" s="57">
        <f t="shared" si="2"/>
        <v>1</v>
      </c>
      <c r="BB22" s="58" t="s">
        <v>19</v>
      </c>
      <c r="BC22" s="65"/>
      <c r="BD22" s="73"/>
      <c r="BE22" s="53"/>
    </row>
    <row r="23" spans="1:57" s="8" customFormat="1" ht="11.25">
      <c r="A23" s="28" t="s">
        <v>176</v>
      </c>
      <c r="B23" s="9" t="str">
        <f>"BINDER CSIPESZ (CLIPS)"</f>
        <v>BINDER CSIPESZ (CLIPS)</v>
      </c>
      <c r="C23" s="9" t="s">
        <v>59</v>
      </c>
      <c r="D23" s="20" t="s">
        <v>25</v>
      </c>
      <c r="E23" s="5"/>
      <c r="F23" s="17"/>
      <c r="G23" s="5"/>
      <c r="H23" s="5">
        <v>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17"/>
      <c r="AK23" s="5"/>
      <c r="AL23" s="5"/>
      <c r="AM23" s="5"/>
      <c r="AN23" s="5">
        <v>1</v>
      </c>
      <c r="AO23" s="5">
        <v>1</v>
      </c>
      <c r="AP23" s="5">
        <v>1</v>
      </c>
      <c r="AQ23" s="5">
        <v>1</v>
      </c>
      <c r="AR23" s="5"/>
      <c r="AS23" s="5"/>
      <c r="AT23" s="5">
        <v>3</v>
      </c>
      <c r="AU23" s="5"/>
      <c r="AV23" s="5"/>
      <c r="AW23" s="5"/>
      <c r="AX23" s="5"/>
      <c r="AY23" s="5"/>
      <c r="AZ23" s="5"/>
      <c r="BA23" s="57">
        <f t="shared" si="2"/>
        <v>12</v>
      </c>
      <c r="BB23" s="58" t="s">
        <v>25</v>
      </c>
      <c r="BC23" s="65"/>
      <c r="BD23" s="73"/>
      <c r="BE23" s="53"/>
    </row>
    <row r="24" spans="1:57" s="8" customFormat="1" ht="11.25">
      <c r="A24" s="28" t="s">
        <v>177</v>
      </c>
      <c r="B24" s="9" t="str">
        <f>"BINDER CSIPESZ (CLIPS)"</f>
        <v>BINDER CSIPESZ (CLIPS)</v>
      </c>
      <c r="C24" s="9" t="s">
        <v>58</v>
      </c>
      <c r="D24" s="20" t="s">
        <v>25</v>
      </c>
      <c r="E24" s="5"/>
      <c r="F24" s="17"/>
      <c r="G24" s="5"/>
      <c r="H24" s="5"/>
      <c r="I24" s="5"/>
      <c r="J24" s="5"/>
      <c r="K24" s="5"/>
      <c r="L24" s="5"/>
      <c r="M24" s="5"/>
      <c r="N24" s="5"/>
      <c r="O24" s="5"/>
      <c r="P24" s="5">
        <v>1</v>
      </c>
      <c r="Q24" s="5"/>
      <c r="R24" s="5">
        <v>1</v>
      </c>
      <c r="S24" s="5"/>
      <c r="T24" s="5"/>
      <c r="U24" s="5"/>
      <c r="V24" s="5"/>
      <c r="W24" s="5">
        <v>2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7"/>
      <c r="AK24" s="5"/>
      <c r="AL24" s="5"/>
      <c r="AM24" s="5"/>
      <c r="AN24" s="5">
        <v>1</v>
      </c>
      <c r="AO24" s="5">
        <v>1</v>
      </c>
      <c r="AP24" s="5">
        <v>1</v>
      </c>
      <c r="AQ24" s="5">
        <v>1</v>
      </c>
      <c r="AR24" s="5"/>
      <c r="AS24" s="5"/>
      <c r="AT24" s="5">
        <v>3</v>
      </c>
      <c r="AU24" s="5"/>
      <c r="AV24" s="5"/>
      <c r="AW24" s="5"/>
      <c r="AX24" s="5"/>
      <c r="AY24" s="5"/>
      <c r="AZ24" s="5"/>
      <c r="BA24" s="57">
        <f t="shared" si="2"/>
        <v>11</v>
      </c>
      <c r="BB24" s="58" t="s">
        <v>25</v>
      </c>
      <c r="BC24" s="65"/>
      <c r="BD24" s="73"/>
      <c r="BE24" s="53"/>
    </row>
    <row r="25" spans="1:57" s="8" customFormat="1" ht="11.25">
      <c r="A25" s="28" t="s">
        <v>178</v>
      </c>
      <c r="B25" s="9" t="str">
        <f>"BINDER CSIPESZ (CLIPS)"</f>
        <v>BINDER CSIPESZ (CLIPS)</v>
      </c>
      <c r="C25" s="9" t="s">
        <v>57</v>
      </c>
      <c r="D25" s="20" t="s">
        <v>25</v>
      </c>
      <c r="E25" s="5"/>
      <c r="F25" s="17">
        <v>1</v>
      </c>
      <c r="G25" s="5"/>
      <c r="H25" s="5"/>
      <c r="I25" s="5"/>
      <c r="J25" s="5"/>
      <c r="K25" s="5"/>
      <c r="L25" s="5"/>
      <c r="M25" s="5"/>
      <c r="N25" s="5"/>
      <c r="O25" s="5"/>
      <c r="P25" s="5">
        <v>2</v>
      </c>
      <c r="Q25" s="5"/>
      <c r="R25" s="5">
        <v>1</v>
      </c>
      <c r="S25" s="5"/>
      <c r="T25" s="5"/>
      <c r="U25" s="5"/>
      <c r="V25" s="5"/>
      <c r="W25" s="5">
        <v>2</v>
      </c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7"/>
      <c r="AK25" s="5"/>
      <c r="AL25" s="5"/>
      <c r="AM25" s="5"/>
      <c r="AN25" s="5">
        <v>1</v>
      </c>
      <c r="AO25" s="5">
        <v>1</v>
      </c>
      <c r="AP25" s="5">
        <v>1</v>
      </c>
      <c r="AQ25" s="5">
        <v>1</v>
      </c>
      <c r="AR25" s="5"/>
      <c r="AS25" s="5"/>
      <c r="AT25" s="5">
        <v>3</v>
      </c>
      <c r="AU25" s="5"/>
      <c r="AV25" s="5"/>
      <c r="AW25" s="5"/>
      <c r="AX25" s="5"/>
      <c r="AY25" s="5"/>
      <c r="AZ25" s="5">
        <v>1</v>
      </c>
      <c r="BA25" s="57">
        <f t="shared" si="2"/>
        <v>14</v>
      </c>
      <c r="BB25" s="58" t="s">
        <v>25</v>
      </c>
      <c r="BC25" s="65"/>
      <c r="BD25" s="73"/>
      <c r="BE25" s="53"/>
    </row>
    <row r="26" spans="1:57" s="8" customFormat="1" ht="11.25">
      <c r="A26" s="28" t="s">
        <v>175</v>
      </c>
      <c r="B26" s="9" t="str">
        <f>"BINDER CSIPESZ (CLIPS)"</f>
        <v>BINDER CSIPESZ (CLIPS)</v>
      </c>
      <c r="C26" s="9" t="s">
        <v>60</v>
      </c>
      <c r="D26" s="20" t="s">
        <v>25</v>
      </c>
      <c r="E26" s="5"/>
      <c r="F26" s="17"/>
      <c r="G26" s="5"/>
      <c r="H26" s="5"/>
      <c r="I26" s="5"/>
      <c r="J26" s="5"/>
      <c r="K26" s="5"/>
      <c r="L26" s="5"/>
      <c r="M26" s="5"/>
      <c r="N26" s="5"/>
      <c r="O26" s="5"/>
      <c r="P26" s="5">
        <v>1</v>
      </c>
      <c r="Q26" s="5"/>
      <c r="R26" s="5"/>
      <c r="S26" s="5"/>
      <c r="T26" s="5"/>
      <c r="U26" s="5"/>
      <c r="V26" s="5"/>
      <c r="W26" s="5">
        <v>2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7"/>
      <c r="AK26" s="5"/>
      <c r="AL26" s="5"/>
      <c r="AM26" s="5"/>
      <c r="AN26" s="5">
        <v>1</v>
      </c>
      <c r="AO26" s="5">
        <v>1</v>
      </c>
      <c r="AP26" s="5">
        <v>1</v>
      </c>
      <c r="AQ26" s="5">
        <v>1</v>
      </c>
      <c r="AR26" s="5"/>
      <c r="AS26" s="5"/>
      <c r="AT26" s="5"/>
      <c r="AU26" s="5"/>
      <c r="AV26" s="5"/>
      <c r="AW26" s="5"/>
      <c r="AX26" s="5"/>
      <c r="AY26" s="5"/>
      <c r="AZ26" s="5">
        <v>1</v>
      </c>
      <c r="BA26" s="57">
        <f t="shared" si="2"/>
        <v>8</v>
      </c>
      <c r="BB26" s="58" t="s">
        <v>25</v>
      </c>
      <c r="BC26" s="65"/>
      <c r="BD26" s="73"/>
      <c r="BE26" s="53"/>
    </row>
    <row r="27" spans="1:57" s="9" customFormat="1" ht="11.25" hidden="1">
      <c r="A27" s="28"/>
      <c r="B27" s="9" t="s">
        <v>39</v>
      </c>
      <c r="D27" s="17"/>
      <c r="E27" s="4"/>
      <c r="F27" s="17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17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57">
        <f t="shared" si="2"/>
        <v>0</v>
      </c>
      <c r="BB27" s="56"/>
      <c r="BC27" s="65"/>
      <c r="BD27" s="73"/>
      <c r="BE27" s="43"/>
    </row>
    <row r="28" spans="1:57" s="9" customFormat="1" ht="11.25" hidden="1">
      <c r="A28" s="28"/>
      <c r="B28" s="9" t="s">
        <v>39</v>
      </c>
      <c r="C28" s="9" t="str">
        <f>"DELI 0620"</f>
        <v>DELI 0620</v>
      </c>
      <c r="D28" s="17"/>
      <c r="E28" s="4"/>
      <c r="F28" s="1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17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57">
        <f t="shared" si="2"/>
        <v>0</v>
      </c>
      <c r="BB28" s="56"/>
      <c r="BC28" s="65"/>
      <c r="BD28" s="73"/>
      <c r="BE28" s="43"/>
    </row>
    <row r="29" spans="1:57" s="9" customFormat="1" ht="11.25" hidden="1">
      <c r="A29" s="28"/>
      <c r="B29" s="9" t="s">
        <v>39</v>
      </c>
      <c r="D29" s="17"/>
      <c r="E29" s="4"/>
      <c r="F29" s="17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17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57">
        <f t="shared" si="2"/>
        <v>0</v>
      </c>
      <c r="BB29" s="56"/>
      <c r="BC29" s="65"/>
      <c r="BD29" s="73"/>
      <c r="BE29" s="53"/>
    </row>
    <row r="30" spans="1:57" s="8" customFormat="1" ht="11.25" hidden="1">
      <c r="A30" s="28"/>
      <c r="B30" s="9" t="s">
        <v>39</v>
      </c>
      <c r="C30" s="9" t="str">
        <f>"080X120 CM"</f>
        <v>080X120 CM</v>
      </c>
      <c r="D30" s="20"/>
      <c r="E30" s="5"/>
      <c r="F30" s="17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17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7">
        <f t="shared" si="2"/>
        <v>0</v>
      </c>
      <c r="BB30" s="58"/>
      <c r="BC30" s="65"/>
      <c r="BD30" s="73"/>
      <c r="BE30" s="53"/>
    </row>
    <row r="31" spans="1:57" s="8" customFormat="1" ht="11.25" hidden="1">
      <c r="A31" s="28"/>
      <c r="B31" s="9" t="s">
        <v>39</v>
      </c>
      <c r="C31" s="9" t="str">
        <f>"5KG-OS"</f>
        <v>5KG-OS</v>
      </c>
      <c r="D31" s="20"/>
      <c r="E31" s="5"/>
      <c r="F31" s="1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17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7">
        <f t="shared" si="2"/>
        <v>0</v>
      </c>
      <c r="BB31" s="58"/>
      <c r="BC31" s="65"/>
      <c r="BD31" s="73"/>
      <c r="BE31" s="43"/>
    </row>
    <row r="32" spans="1:57" s="9" customFormat="1" ht="11.25" hidden="1">
      <c r="A32" s="28"/>
      <c r="B32" s="9" t="s">
        <v>39</v>
      </c>
      <c r="C32" s="9" t="str">
        <f>"A/1"</f>
        <v>A/1</v>
      </c>
      <c r="D32" s="17"/>
      <c r="E32" s="4"/>
      <c r="F32" s="17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7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57">
        <f t="shared" si="2"/>
        <v>0</v>
      </c>
      <c r="BB32" s="56"/>
      <c r="BC32" s="65"/>
      <c r="BD32" s="73"/>
      <c r="BE32" s="43"/>
    </row>
    <row r="33" spans="1:57" s="9" customFormat="1" ht="11.25" hidden="1">
      <c r="A33" s="28"/>
      <c r="B33" s="9" t="s">
        <v>39</v>
      </c>
      <c r="D33" s="17"/>
      <c r="E33" s="4"/>
      <c r="F33" s="1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17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57">
        <f t="shared" si="2"/>
        <v>0</v>
      </c>
      <c r="BB33" s="56"/>
      <c r="BC33" s="65"/>
      <c r="BD33" s="73"/>
      <c r="BE33" s="53"/>
    </row>
    <row r="34" spans="1:57" s="8" customFormat="1" ht="11.25" hidden="1">
      <c r="A34" s="28"/>
      <c r="B34" s="9" t="s">
        <v>39</v>
      </c>
      <c r="C34" s="9"/>
      <c r="D34" s="20"/>
      <c r="E34" s="5"/>
      <c r="F34" s="17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7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7">
        <f t="shared" si="2"/>
        <v>0</v>
      </c>
      <c r="BB34" s="58"/>
      <c r="BC34" s="65"/>
      <c r="BD34" s="73"/>
      <c r="BE34" s="53"/>
    </row>
    <row r="35" spans="1:57" s="8" customFormat="1" ht="11.25" hidden="1">
      <c r="A35" s="28"/>
      <c r="B35" s="9" t="s">
        <v>39</v>
      </c>
      <c r="C35" s="9" t="str">
        <f>"A/4 (20/40-ES)"</f>
        <v>A/4 (20/40-ES)</v>
      </c>
      <c r="D35" s="20"/>
      <c r="E35" s="5"/>
      <c r="F35" s="17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7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7">
        <f t="shared" si="2"/>
        <v>0</v>
      </c>
      <c r="BB35" s="58"/>
      <c r="BC35" s="65"/>
      <c r="BD35" s="73"/>
      <c r="BE35" s="53"/>
    </row>
    <row r="36" spans="1:57" s="8" customFormat="1" ht="11.25" hidden="1">
      <c r="A36" s="28"/>
      <c r="B36" s="9" t="s">
        <v>39</v>
      </c>
      <c r="C36" s="9" t="str">
        <f>"A/4 (40/80-AS)"</f>
        <v>A/4 (40/80-AS)</v>
      </c>
      <c r="D36" s="20"/>
      <c r="E36" s="5"/>
      <c r="F36" s="17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7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7">
        <f t="shared" si="2"/>
        <v>0</v>
      </c>
      <c r="BB36" s="58"/>
      <c r="BC36" s="65"/>
      <c r="BD36" s="73"/>
      <c r="BE36" s="53"/>
    </row>
    <row r="37" spans="1:57" s="8" customFormat="1" ht="11.25">
      <c r="A37" s="28" t="s">
        <v>179</v>
      </c>
      <c r="B37" s="9" t="str">
        <f aca="true" t="shared" si="3" ref="B37:B47">"BORÍTÉK (ÖNTAPADÓS) SZILIKONOS"</f>
        <v>BORÍTÉK (ÖNTAPADÓS) SZILIKONOS</v>
      </c>
      <c r="C37" s="9" t="s">
        <v>116</v>
      </c>
      <c r="D37" s="20" t="s">
        <v>19</v>
      </c>
      <c r="E37" s="5">
        <v>5</v>
      </c>
      <c r="F37" s="17"/>
      <c r="G37" s="5"/>
      <c r="H37" s="5"/>
      <c r="I37" s="5"/>
      <c r="J37" s="5">
        <v>250</v>
      </c>
      <c r="K37" s="5"/>
      <c r="L37" s="5">
        <v>30</v>
      </c>
      <c r="M37" s="5"/>
      <c r="N37" s="5"/>
      <c r="O37" s="5">
        <v>50</v>
      </c>
      <c r="P37" s="5"/>
      <c r="Q37" s="5"/>
      <c r="R37" s="5">
        <v>10</v>
      </c>
      <c r="S37" s="5"/>
      <c r="T37" s="5"/>
      <c r="U37" s="5">
        <v>20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17"/>
      <c r="AK37" s="5"/>
      <c r="AL37" s="5"/>
      <c r="AM37" s="5"/>
      <c r="AN37" s="5">
        <v>100</v>
      </c>
      <c r="AO37" s="5">
        <v>100</v>
      </c>
      <c r="AP37" s="5">
        <v>100</v>
      </c>
      <c r="AQ37" s="5">
        <v>100</v>
      </c>
      <c r="AR37" s="5"/>
      <c r="AS37" s="5"/>
      <c r="AT37" s="5"/>
      <c r="AU37" s="5"/>
      <c r="AV37" s="5"/>
      <c r="AW37" s="5"/>
      <c r="AX37" s="5"/>
      <c r="AY37" s="5"/>
      <c r="AZ37" s="5"/>
      <c r="BA37" s="57">
        <f t="shared" si="2"/>
        <v>765</v>
      </c>
      <c r="BB37" s="58" t="s">
        <v>19</v>
      </c>
      <c r="BC37" s="65"/>
      <c r="BD37" s="73"/>
      <c r="BE37" s="53"/>
    </row>
    <row r="38" spans="1:57" s="8" customFormat="1" ht="11.25">
      <c r="A38" s="28" t="s">
        <v>180</v>
      </c>
      <c r="B38" s="9" t="str">
        <f t="shared" si="3"/>
        <v>BORÍTÉK (ÖNTAPADÓS) SZILIKONOS</v>
      </c>
      <c r="C38" s="9" t="s">
        <v>53</v>
      </c>
      <c r="D38" s="20" t="s">
        <v>19</v>
      </c>
      <c r="E38" s="5">
        <v>5</v>
      </c>
      <c r="F38" s="17"/>
      <c r="G38" s="5"/>
      <c r="H38" s="23">
        <v>1500</v>
      </c>
      <c r="I38" s="5"/>
      <c r="J38" s="5">
        <v>250</v>
      </c>
      <c r="K38" s="5"/>
      <c r="L38" s="5">
        <v>30</v>
      </c>
      <c r="M38" s="5"/>
      <c r="N38" s="5"/>
      <c r="O38" s="5"/>
      <c r="P38" s="5"/>
      <c r="Q38" s="5"/>
      <c r="R38" s="5">
        <v>25</v>
      </c>
      <c r="S38" s="5"/>
      <c r="T38" s="5"/>
      <c r="U38" s="5">
        <v>20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7"/>
      <c r="AK38" s="5"/>
      <c r="AL38" s="5"/>
      <c r="AM38" s="5"/>
      <c r="AN38" s="5">
        <v>100</v>
      </c>
      <c r="AO38" s="5">
        <v>100</v>
      </c>
      <c r="AP38" s="5">
        <v>100</v>
      </c>
      <c r="AQ38" s="5">
        <v>100</v>
      </c>
      <c r="AR38" s="5"/>
      <c r="AS38" s="5"/>
      <c r="AT38" s="5"/>
      <c r="AU38" s="5"/>
      <c r="AV38" s="5"/>
      <c r="AW38" s="5"/>
      <c r="AX38" s="5"/>
      <c r="AY38" s="5">
        <v>10</v>
      </c>
      <c r="AZ38" s="5"/>
      <c r="BA38" s="57">
        <f t="shared" si="2"/>
        <v>2240</v>
      </c>
      <c r="BB38" s="58" t="s">
        <v>19</v>
      </c>
      <c r="BC38" s="65"/>
      <c r="BD38" s="73"/>
      <c r="BE38" s="53"/>
    </row>
    <row r="39" spans="1:57" s="8" customFormat="1" ht="11.25">
      <c r="A39" s="28" t="s">
        <v>181</v>
      </c>
      <c r="B39" s="9" t="str">
        <f t="shared" si="3"/>
        <v>BORÍTÉK (ÖNTAPADÓS) SZILIKONOS</v>
      </c>
      <c r="C39" s="9" t="s">
        <v>54</v>
      </c>
      <c r="D39" s="20" t="s">
        <v>19</v>
      </c>
      <c r="E39" s="5">
        <v>5</v>
      </c>
      <c r="F39" s="17"/>
      <c r="G39" s="5"/>
      <c r="H39" s="5"/>
      <c r="I39" s="5"/>
      <c r="J39" s="5">
        <v>4000</v>
      </c>
      <c r="K39" s="5"/>
      <c r="L39" s="5">
        <v>40</v>
      </c>
      <c r="M39" s="5"/>
      <c r="N39" s="5"/>
      <c r="O39" s="5">
        <v>400</v>
      </c>
      <c r="P39" s="5"/>
      <c r="Q39" s="5"/>
      <c r="R39" s="5">
        <v>10</v>
      </c>
      <c r="S39" s="5"/>
      <c r="T39" s="5"/>
      <c r="U39" s="5">
        <v>30</v>
      </c>
      <c r="V39" s="5"/>
      <c r="W39" s="5">
        <v>10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7"/>
      <c r="AK39" s="5"/>
      <c r="AL39" s="5"/>
      <c r="AM39" s="5"/>
      <c r="AN39" s="5">
        <v>100</v>
      </c>
      <c r="AO39" s="5">
        <v>100</v>
      </c>
      <c r="AP39" s="5">
        <v>100</v>
      </c>
      <c r="AQ39" s="5">
        <v>100</v>
      </c>
      <c r="AR39" s="5"/>
      <c r="AS39" s="5"/>
      <c r="AT39" s="5"/>
      <c r="AU39" s="5"/>
      <c r="AV39" s="5"/>
      <c r="AW39" s="5"/>
      <c r="AX39" s="5"/>
      <c r="AY39" s="5">
        <v>20</v>
      </c>
      <c r="AZ39" s="5"/>
      <c r="BA39" s="57">
        <f t="shared" si="2"/>
        <v>4915</v>
      </c>
      <c r="BB39" s="58" t="s">
        <v>19</v>
      </c>
      <c r="BC39" s="65"/>
      <c r="BD39" s="73"/>
      <c r="BE39" s="53"/>
    </row>
    <row r="40" spans="1:57" s="8" customFormat="1" ht="11.25" hidden="1">
      <c r="A40" s="28"/>
      <c r="B40" s="9" t="str">
        <f t="shared" si="3"/>
        <v>BORÍTÉK (ÖNTAPADÓS) SZILIKONOS</v>
      </c>
      <c r="C40" s="9" t="str">
        <f>"A/4"</f>
        <v>A/4</v>
      </c>
      <c r="D40" s="20" t="s">
        <v>19</v>
      </c>
      <c r="E40" s="5"/>
      <c r="F40" s="17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7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7">
        <f t="shared" si="2"/>
        <v>0</v>
      </c>
      <c r="BB40" s="58" t="s">
        <v>19</v>
      </c>
      <c r="BC40" s="65"/>
      <c r="BD40" s="73"/>
      <c r="BE40" s="53"/>
    </row>
    <row r="41" spans="1:57" s="8" customFormat="1" ht="11.25" hidden="1">
      <c r="A41" s="28"/>
      <c r="B41" s="9" t="str">
        <f t="shared" si="3"/>
        <v>BORÍTÉK (ÖNTAPADÓS) SZILIKONOS</v>
      </c>
      <c r="C41" s="9" t="str">
        <f>"A/5"</f>
        <v>A/5</v>
      </c>
      <c r="D41" s="20" t="s">
        <v>19</v>
      </c>
      <c r="E41" s="5"/>
      <c r="F41" s="17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7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7">
        <f t="shared" si="2"/>
        <v>0</v>
      </c>
      <c r="BB41" s="58" t="s">
        <v>19</v>
      </c>
      <c r="BC41" s="65"/>
      <c r="BD41" s="73"/>
      <c r="BE41" s="53"/>
    </row>
    <row r="42" spans="1:57" s="8" customFormat="1" ht="11.25" hidden="1">
      <c r="A42" s="28"/>
      <c r="B42" s="9" t="str">
        <f t="shared" si="3"/>
        <v>BORÍTÉK (ÖNTAPADÓS) SZILIKONOS</v>
      </c>
      <c r="C42" s="9" t="s">
        <v>12</v>
      </c>
      <c r="D42" s="20" t="s">
        <v>19</v>
      </c>
      <c r="E42" s="5"/>
      <c r="F42" s="17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7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7">
        <f t="shared" si="2"/>
        <v>0</v>
      </c>
      <c r="BB42" s="58" t="s">
        <v>19</v>
      </c>
      <c r="BC42" s="65"/>
      <c r="BD42" s="73"/>
      <c r="BE42" s="53"/>
    </row>
    <row r="43" spans="1:57" s="8" customFormat="1" ht="11.25" hidden="1">
      <c r="A43" s="28"/>
      <c r="B43" s="9" t="str">
        <f t="shared" si="3"/>
        <v>BORÍTÉK (ÖNTAPADÓS) SZILIKONOS</v>
      </c>
      <c r="C43" s="9"/>
      <c r="D43" s="20" t="s">
        <v>19</v>
      </c>
      <c r="E43" s="5"/>
      <c r="F43" s="17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7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7">
        <f t="shared" si="2"/>
        <v>0</v>
      </c>
      <c r="BB43" s="58" t="s">
        <v>19</v>
      </c>
      <c r="BC43" s="65"/>
      <c r="BD43" s="73"/>
      <c r="BE43" s="43"/>
    </row>
    <row r="44" spans="1:57" s="9" customFormat="1" ht="11.25" hidden="1">
      <c r="A44" s="28"/>
      <c r="B44" s="9" t="str">
        <f t="shared" si="3"/>
        <v>BORÍTÉK (ÖNTAPADÓS) SZILIKONOS</v>
      </c>
      <c r="D44" s="20" t="s">
        <v>19</v>
      </c>
      <c r="E44" s="4"/>
      <c r="F44" s="1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17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57">
        <f t="shared" si="2"/>
        <v>0</v>
      </c>
      <c r="BB44" s="58" t="s">
        <v>19</v>
      </c>
      <c r="BC44" s="65"/>
      <c r="BD44" s="73"/>
      <c r="BE44" s="43"/>
    </row>
    <row r="45" spans="1:57" s="9" customFormat="1" ht="11.25" hidden="1">
      <c r="A45" s="28"/>
      <c r="B45" s="9" t="str">
        <f t="shared" si="3"/>
        <v>BORÍTÉK (ÖNTAPADÓS) SZILIKONOS</v>
      </c>
      <c r="C45" s="9" t="str">
        <f>"B.318-206"</f>
        <v>B.318-206</v>
      </c>
      <c r="D45" s="20" t="s">
        <v>19</v>
      </c>
      <c r="E45" s="4"/>
      <c r="F45" s="17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17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57">
        <f t="shared" si="2"/>
        <v>0</v>
      </c>
      <c r="BB45" s="58" t="s">
        <v>19</v>
      </c>
      <c r="BC45" s="65"/>
      <c r="BD45" s="73"/>
      <c r="BE45" s="43"/>
    </row>
    <row r="46" spans="1:57" s="9" customFormat="1" ht="11.25" hidden="1">
      <c r="A46" s="28"/>
      <c r="B46" s="9" t="str">
        <f t="shared" si="3"/>
        <v>BORÍTÉK (ÖNTAPADÓS) SZILIKONOS</v>
      </c>
      <c r="C46" s="9" t="str">
        <f>"C.18-72"</f>
        <v>C.18-72</v>
      </c>
      <c r="D46" s="20" t="s">
        <v>19</v>
      </c>
      <c r="E46" s="4"/>
      <c r="F46" s="1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7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57">
        <f t="shared" si="2"/>
        <v>0</v>
      </c>
      <c r="BB46" s="58" t="s">
        <v>19</v>
      </c>
      <c r="BC46" s="65"/>
      <c r="BD46" s="73"/>
      <c r="BE46" s="43"/>
    </row>
    <row r="47" spans="1:57" s="9" customFormat="1" ht="11.25" hidden="1">
      <c r="A47" s="28"/>
      <c r="B47" s="9" t="str">
        <f t="shared" si="3"/>
        <v>BORÍTÉK (ÖNTAPADÓS) SZILIKONOS</v>
      </c>
      <c r="D47" s="20" t="s">
        <v>19</v>
      </c>
      <c r="E47" s="4"/>
      <c r="F47" s="1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7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57">
        <f t="shared" si="2"/>
        <v>0</v>
      </c>
      <c r="BB47" s="58" t="s">
        <v>19</v>
      </c>
      <c r="BC47" s="65"/>
      <c r="BD47" s="73"/>
      <c r="BE47" s="43"/>
    </row>
    <row r="48" spans="1:57" s="8" customFormat="1" ht="11.25">
      <c r="A48" s="28" t="s">
        <v>182</v>
      </c>
      <c r="B48" s="8" t="s">
        <v>61</v>
      </c>
      <c r="C48" s="8" t="s">
        <v>62</v>
      </c>
      <c r="D48" s="20" t="s">
        <v>19</v>
      </c>
      <c r="E48" s="5">
        <v>5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v>5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>
        <v>20</v>
      </c>
      <c r="AZ48" s="5"/>
      <c r="BA48" s="57">
        <f t="shared" si="2"/>
        <v>30</v>
      </c>
      <c r="BB48" s="58" t="s">
        <v>19</v>
      </c>
      <c r="BC48" s="65"/>
      <c r="BD48" s="73"/>
      <c r="BE48" s="53"/>
    </row>
    <row r="49" spans="1:57" s="8" customFormat="1" ht="11.25">
      <c r="A49" s="28" t="s">
        <v>183</v>
      </c>
      <c r="B49" s="8" t="s">
        <v>145</v>
      </c>
      <c r="C49" s="8" t="s">
        <v>146</v>
      </c>
      <c r="D49" s="20" t="s">
        <v>19</v>
      </c>
      <c r="E49" s="5">
        <v>5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v>5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>
        <v>50</v>
      </c>
      <c r="AZ49" s="5"/>
      <c r="BA49" s="57">
        <f t="shared" si="2"/>
        <v>60</v>
      </c>
      <c r="BB49" s="58" t="s">
        <v>19</v>
      </c>
      <c r="BC49" s="65"/>
      <c r="BD49" s="73"/>
      <c r="BE49" s="53"/>
    </row>
    <row r="50" spans="1:57" s="8" customFormat="1" ht="11.25">
      <c r="A50" s="28" t="s">
        <v>184</v>
      </c>
      <c r="B50" s="9" t="s">
        <v>37</v>
      </c>
      <c r="C50" s="9" t="s">
        <v>13</v>
      </c>
      <c r="D50" s="20" t="s">
        <v>19</v>
      </c>
      <c r="E50" s="4"/>
      <c r="F50" s="17"/>
      <c r="G50" s="4"/>
      <c r="H50" s="4"/>
      <c r="I50" s="4"/>
      <c r="J50" s="4">
        <v>2</v>
      </c>
      <c r="K50" s="4"/>
      <c r="L50" s="4">
        <v>10</v>
      </c>
      <c r="M50" s="4"/>
      <c r="N50" s="4"/>
      <c r="O50" s="4"/>
      <c r="P50" s="4"/>
      <c r="Q50" s="4"/>
      <c r="R50" s="4"/>
      <c r="S50" s="4"/>
      <c r="T50" s="4"/>
      <c r="U50" s="4">
        <v>2</v>
      </c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7"/>
      <c r="AK50" s="4"/>
      <c r="AL50" s="4"/>
      <c r="AM50" s="4"/>
      <c r="AN50" s="4"/>
      <c r="AO50" s="4"/>
      <c r="AP50" s="4"/>
      <c r="AQ50" s="4">
        <v>5</v>
      </c>
      <c r="AR50" s="4"/>
      <c r="AS50" s="4"/>
      <c r="AT50" s="4"/>
      <c r="AU50" s="4"/>
      <c r="AV50" s="4"/>
      <c r="AW50" s="4"/>
      <c r="AX50" s="4"/>
      <c r="AY50" s="4"/>
      <c r="AZ50" s="4"/>
      <c r="BA50" s="57">
        <f t="shared" si="2"/>
        <v>19</v>
      </c>
      <c r="BB50" s="58" t="s">
        <v>19</v>
      </c>
      <c r="BC50" s="65"/>
      <c r="BD50" s="73"/>
      <c r="BE50" s="53"/>
    </row>
    <row r="51" spans="1:57" s="9" customFormat="1" ht="11.25">
      <c r="A51" s="28" t="s">
        <v>185</v>
      </c>
      <c r="B51" s="9" t="str">
        <f>"CERUZA (ZEBRA) PIXIRON"</f>
        <v>CERUZA (ZEBRA) PIXIRON</v>
      </c>
      <c r="C51" s="9" t="str">
        <f>"0.5 MM"</f>
        <v>0.5 MM</v>
      </c>
      <c r="D51" s="20" t="s">
        <v>19</v>
      </c>
      <c r="E51" s="4"/>
      <c r="F51" s="17"/>
      <c r="G51" s="4"/>
      <c r="H51" s="4"/>
      <c r="I51" s="4"/>
      <c r="J51" s="4"/>
      <c r="K51" s="4"/>
      <c r="L51" s="4"/>
      <c r="M51" s="4"/>
      <c r="N51" s="4"/>
      <c r="O51" s="4"/>
      <c r="P51" s="4">
        <v>2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7"/>
      <c r="AK51" s="4"/>
      <c r="AL51" s="4"/>
      <c r="AM51" s="4"/>
      <c r="AN51" s="4"/>
      <c r="AO51" s="4"/>
      <c r="AP51" s="4"/>
      <c r="AQ51" s="4">
        <v>2</v>
      </c>
      <c r="AR51" s="4">
        <v>2</v>
      </c>
      <c r="AS51" s="4">
        <v>2</v>
      </c>
      <c r="AT51" s="4"/>
      <c r="AU51" s="4"/>
      <c r="AV51" s="4"/>
      <c r="AW51" s="4"/>
      <c r="AX51" s="4"/>
      <c r="AY51" s="4"/>
      <c r="AZ51" s="4"/>
      <c r="BA51" s="57">
        <f t="shared" si="2"/>
        <v>8</v>
      </c>
      <c r="BB51" s="58" t="s">
        <v>19</v>
      </c>
      <c r="BC51" s="65"/>
      <c r="BD51" s="73"/>
      <c r="BE51" s="43"/>
    </row>
    <row r="52" spans="1:57" s="9" customFormat="1" ht="11.25">
      <c r="A52" s="28" t="s">
        <v>186</v>
      </c>
      <c r="B52" s="9" t="s">
        <v>39</v>
      </c>
      <c r="C52" s="9" t="str">
        <f>"0,5 MM"</f>
        <v>0,5 MM</v>
      </c>
      <c r="D52" s="20" t="s">
        <v>19</v>
      </c>
      <c r="E52" s="4"/>
      <c r="F52" s="17"/>
      <c r="G52" s="4"/>
      <c r="H52" s="4"/>
      <c r="I52" s="4"/>
      <c r="J52" s="4"/>
      <c r="K52" s="4"/>
      <c r="L52" s="4"/>
      <c r="M52" s="4"/>
      <c r="N52" s="4"/>
      <c r="O52" s="4"/>
      <c r="P52" s="4">
        <v>1</v>
      </c>
      <c r="Q52" s="4"/>
      <c r="R52" s="4"/>
      <c r="S52" s="4"/>
      <c r="T52" s="4"/>
      <c r="U52" s="4">
        <v>2</v>
      </c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7"/>
      <c r="AK52" s="4"/>
      <c r="AL52" s="4"/>
      <c r="AM52" s="4"/>
      <c r="AN52" s="4"/>
      <c r="AO52" s="4"/>
      <c r="AP52" s="4">
        <v>3</v>
      </c>
      <c r="AQ52" s="4">
        <v>3</v>
      </c>
      <c r="AR52" s="4">
        <v>1</v>
      </c>
      <c r="AS52" s="4">
        <v>1</v>
      </c>
      <c r="AT52" s="4"/>
      <c r="AU52" s="4"/>
      <c r="AV52" s="4"/>
      <c r="AW52" s="4"/>
      <c r="AX52" s="4"/>
      <c r="AY52" s="4"/>
      <c r="AZ52" s="4"/>
      <c r="BA52" s="57">
        <f aca="true" t="shared" si="4" ref="BA52:BA83">SUM(E52:AZ52)</f>
        <v>11</v>
      </c>
      <c r="BB52" s="58" t="s">
        <v>19</v>
      </c>
      <c r="BC52" s="65"/>
      <c r="BD52" s="73"/>
      <c r="BE52" s="43"/>
    </row>
    <row r="53" spans="1:57" s="9" customFormat="1" ht="11.25" hidden="1">
      <c r="A53" s="28"/>
      <c r="B53" s="9" t="str">
        <f>"EMELŐGÉP NAPLÓ"</f>
        <v>EMELŐGÉP NAPLÓ</v>
      </c>
      <c r="C53" s="9" t="str">
        <f>"A/5"</f>
        <v>A/5</v>
      </c>
      <c r="D53" s="20" t="s">
        <v>19</v>
      </c>
      <c r="E53" s="4"/>
      <c r="F53" s="17"/>
      <c r="G53" s="4"/>
      <c r="H53" s="4"/>
      <c r="I53" s="4"/>
      <c r="J53" s="4"/>
      <c r="K53" s="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9"/>
      <c r="AK53" s="4"/>
      <c r="AL53" s="6"/>
      <c r="AM53" s="4"/>
      <c r="AN53" s="4"/>
      <c r="AO53" s="4"/>
      <c r="AP53" s="4"/>
      <c r="AQ53" s="4"/>
      <c r="AR53" s="4"/>
      <c r="AS53" s="4"/>
      <c r="AT53" s="18"/>
      <c r="AU53" s="18"/>
      <c r="AV53" s="18"/>
      <c r="AW53" s="4"/>
      <c r="AX53" s="4"/>
      <c r="AY53" s="4"/>
      <c r="AZ53" s="4"/>
      <c r="BA53" s="57">
        <f t="shared" si="4"/>
        <v>0</v>
      </c>
      <c r="BB53" s="58" t="s">
        <v>19</v>
      </c>
      <c r="BC53" s="65"/>
      <c r="BD53" s="73"/>
      <c r="BE53" s="43"/>
    </row>
    <row r="54" spans="1:57" s="9" customFormat="1" ht="11.25" hidden="1">
      <c r="A54" s="28"/>
      <c r="B54" s="9" t="str">
        <f>"ENGEDÉLY TŰZVESZÉLYES MUNKAVÉGZÉSHEZ"</f>
        <v>ENGEDÉLY TŰZVESZÉLYES MUNKAVÉGZÉSHEZ</v>
      </c>
      <c r="C54" s="9" t="str">
        <f>"A/4 (25X2)"</f>
        <v>A/4 (25X2)</v>
      </c>
      <c r="D54" s="20" t="s">
        <v>19</v>
      </c>
      <c r="E54" s="4"/>
      <c r="F54" s="17"/>
      <c r="G54" s="4"/>
      <c r="H54" s="4"/>
      <c r="I54" s="4"/>
      <c r="J54" s="4"/>
      <c r="K54" s="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19"/>
      <c r="AK54" s="4"/>
      <c r="AL54" s="6"/>
      <c r="AM54" s="4"/>
      <c r="AN54" s="4"/>
      <c r="AO54" s="4"/>
      <c r="AP54" s="4"/>
      <c r="AQ54" s="4"/>
      <c r="AR54" s="4"/>
      <c r="AS54" s="4"/>
      <c r="AT54" s="18"/>
      <c r="AU54" s="18"/>
      <c r="AV54" s="18"/>
      <c r="AW54" s="4"/>
      <c r="AX54" s="4"/>
      <c r="AY54" s="4"/>
      <c r="AZ54" s="4"/>
      <c r="BA54" s="57">
        <f t="shared" si="4"/>
        <v>0</v>
      </c>
      <c r="BB54" s="58" t="s">
        <v>19</v>
      </c>
      <c r="BC54" s="65"/>
      <c r="BD54" s="73"/>
      <c r="BE54" s="43"/>
    </row>
    <row r="55" spans="1:57" s="9" customFormat="1" ht="11.25" hidden="1">
      <c r="A55" s="28"/>
      <c r="B55" s="9" t="str">
        <f>"ÉPÍTÉSI NAPLÓ (25X3)"</f>
        <v>ÉPÍTÉSI NAPLÓ (25X3)</v>
      </c>
      <c r="C55" s="9" t="str">
        <f>"PÁTRIA"</f>
        <v>PÁTRIA</v>
      </c>
      <c r="D55" s="20" t="s">
        <v>19</v>
      </c>
      <c r="E55" s="4"/>
      <c r="F55" s="17"/>
      <c r="G55" s="4"/>
      <c r="H55" s="4"/>
      <c r="I55" s="4"/>
      <c r="J55" s="4"/>
      <c r="K55" s="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9"/>
      <c r="AK55" s="4"/>
      <c r="AL55" s="6"/>
      <c r="AM55" s="4"/>
      <c r="AN55" s="4"/>
      <c r="AO55" s="4"/>
      <c r="AP55" s="4"/>
      <c r="AQ55" s="4"/>
      <c r="AR55" s="4"/>
      <c r="AS55" s="4"/>
      <c r="AT55" s="18"/>
      <c r="AU55" s="18"/>
      <c r="AV55" s="18"/>
      <c r="AW55" s="4"/>
      <c r="AX55" s="4"/>
      <c r="AY55" s="4"/>
      <c r="AZ55" s="4"/>
      <c r="BA55" s="57">
        <f t="shared" si="4"/>
        <v>0</v>
      </c>
      <c r="BB55" s="58" t="s">
        <v>19</v>
      </c>
      <c r="BC55" s="65"/>
      <c r="BD55" s="73"/>
      <c r="BE55" s="43"/>
    </row>
    <row r="56" spans="1:57" s="9" customFormat="1" ht="11.25" hidden="1">
      <c r="A56" s="28"/>
      <c r="B56" s="9" t="str">
        <f>"ETIKETT CIMKE"</f>
        <v>ETIKETT CIMKE</v>
      </c>
      <c r="C56" s="9" t="str">
        <f>"105X058 MM"</f>
        <v>105X058 MM</v>
      </c>
      <c r="D56" s="20" t="s">
        <v>19</v>
      </c>
      <c r="E56" s="4"/>
      <c r="F56" s="17"/>
      <c r="G56" s="4"/>
      <c r="H56" s="4"/>
      <c r="I56" s="4"/>
      <c r="J56" s="4"/>
      <c r="K56" s="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19"/>
      <c r="AK56" s="4"/>
      <c r="AL56" s="6"/>
      <c r="AM56" s="4"/>
      <c r="AN56" s="4"/>
      <c r="AO56" s="4"/>
      <c r="AP56" s="4"/>
      <c r="AQ56" s="4"/>
      <c r="AR56" s="4"/>
      <c r="AS56" s="4"/>
      <c r="AT56" s="18"/>
      <c r="AU56" s="18"/>
      <c r="AV56" s="18"/>
      <c r="AW56" s="4"/>
      <c r="AX56" s="4"/>
      <c r="AY56" s="4"/>
      <c r="AZ56" s="4"/>
      <c r="BA56" s="57">
        <f t="shared" si="4"/>
        <v>0</v>
      </c>
      <c r="BB56" s="58" t="s">
        <v>19</v>
      </c>
      <c r="BC56" s="65"/>
      <c r="BD56" s="73"/>
      <c r="BE56" s="43"/>
    </row>
    <row r="57" spans="1:57" s="9" customFormat="1" ht="11.25" hidden="1">
      <c r="A57" s="28"/>
      <c r="B57" s="9" t="str">
        <f>"ETIKETT CIMKE"</f>
        <v>ETIKETT CIMKE</v>
      </c>
      <c r="C57" s="9" t="str">
        <f>"35 MM"</f>
        <v>35 MM</v>
      </c>
      <c r="D57" s="20" t="s">
        <v>19</v>
      </c>
      <c r="E57" s="4"/>
      <c r="F57" s="17"/>
      <c r="G57" s="4"/>
      <c r="H57" s="4"/>
      <c r="I57" s="4"/>
      <c r="J57" s="4"/>
      <c r="K57" s="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19"/>
      <c r="AK57" s="4"/>
      <c r="AL57" s="6"/>
      <c r="AM57" s="4"/>
      <c r="AN57" s="4"/>
      <c r="AO57" s="4"/>
      <c r="AP57" s="4"/>
      <c r="AQ57" s="4"/>
      <c r="AR57" s="4"/>
      <c r="AS57" s="4"/>
      <c r="AT57" s="18"/>
      <c r="AU57" s="18"/>
      <c r="AV57" s="18"/>
      <c r="AW57" s="4"/>
      <c r="AX57" s="4"/>
      <c r="AY57" s="4"/>
      <c r="AZ57" s="4"/>
      <c r="BA57" s="57">
        <f t="shared" si="4"/>
        <v>0</v>
      </c>
      <c r="BB57" s="58" t="s">
        <v>19</v>
      </c>
      <c r="BC57" s="65"/>
      <c r="BD57" s="73"/>
      <c r="BE57" s="43"/>
    </row>
    <row r="58" spans="1:57" s="9" customFormat="1" ht="11.25" hidden="1">
      <c r="A58" s="28"/>
      <c r="B58" s="9" t="str">
        <f>"ETIKETT CIMKE"</f>
        <v>ETIKETT CIMKE</v>
      </c>
      <c r="D58" s="20" t="s">
        <v>19</v>
      </c>
      <c r="E58" s="4"/>
      <c r="F58" s="17"/>
      <c r="G58" s="4"/>
      <c r="H58" s="4"/>
      <c r="I58" s="4"/>
      <c r="J58" s="4"/>
      <c r="K58" s="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19"/>
      <c r="AK58" s="4"/>
      <c r="AL58" s="6"/>
      <c r="AM58" s="4"/>
      <c r="AN58" s="4"/>
      <c r="AO58" s="4"/>
      <c r="AP58" s="4"/>
      <c r="AQ58" s="4"/>
      <c r="AR58" s="4"/>
      <c r="AS58" s="4"/>
      <c r="AT58" s="18"/>
      <c r="AU58" s="18"/>
      <c r="AV58" s="18"/>
      <c r="AW58" s="4"/>
      <c r="AX58" s="4"/>
      <c r="AY58" s="4"/>
      <c r="AZ58" s="4"/>
      <c r="BA58" s="57">
        <f t="shared" si="4"/>
        <v>0</v>
      </c>
      <c r="BB58" s="58" t="s">
        <v>19</v>
      </c>
      <c r="BC58" s="65"/>
      <c r="BD58" s="73"/>
      <c r="BE58" s="43"/>
    </row>
    <row r="59" spans="1:57" s="9" customFormat="1" ht="11.25">
      <c r="A59" s="28" t="s">
        <v>187</v>
      </c>
      <c r="B59" s="9" t="s">
        <v>119</v>
      </c>
      <c r="D59" s="20" t="s">
        <v>19</v>
      </c>
      <c r="E59" s="4"/>
      <c r="F59" s="17"/>
      <c r="G59" s="4"/>
      <c r="H59" s="4"/>
      <c r="I59" s="4"/>
      <c r="J59" s="4"/>
      <c r="K59" s="6"/>
      <c r="L59" s="4"/>
      <c r="M59" s="4"/>
      <c r="N59" s="4"/>
      <c r="O59" s="4"/>
      <c r="P59" s="4"/>
      <c r="Q59" s="4"/>
      <c r="R59" s="4"/>
      <c r="S59" s="4"/>
      <c r="T59" s="4"/>
      <c r="U59" s="4">
        <v>1</v>
      </c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19"/>
      <c r="AK59" s="4"/>
      <c r="AL59" s="6"/>
      <c r="AM59" s="4"/>
      <c r="AN59" s="4"/>
      <c r="AO59" s="4"/>
      <c r="AP59" s="4"/>
      <c r="AQ59" s="4"/>
      <c r="AR59" s="4"/>
      <c r="AS59" s="4"/>
      <c r="AT59" s="18"/>
      <c r="AU59" s="18"/>
      <c r="AV59" s="18"/>
      <c r="AW59" s="4"/>
      <c r="AX59" s="4"/>
      <c r="AY59" s="4"/>
      <c r="AZ59" s="4"/>
      <c r="BA59" s="57">
        <f t="shared" si="4"/>
        <v>1</v>
      </c>
      <c r="BB59" s="58" t="s">
        <v>19</v>
      </c>
      <c r="BC59" s="65"/>
      <c r="BD59" s="73"/>
      <c r="BE59" s="43"/>
    </row>
    <row r="60" spans="1:57" s="9" customFormat="1" ht="11.25">
      <c r="A60" s="28" t="s">
        <v>188</v>
      </c>
      <c r="B60" s="9" t="s">
        <v>117</v>
      </c>
      <c r="C60" s="9" t="s">
        <v>115</v>
      </c>
      <c r="D60" s="20" t="s">
        <v>19</v>
      </c>
      <c r="E60" s="4"/>
      <c r="F60" s="17"/>
      <c r="G60" s="4"/>
      <c r="H60" s="4">
        <v>1</v>
      </c>
      <c r="I60" s="4"/>
      <c r="J60" s="4"/>
      <c r="K60" s="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19"/>
      <c r="AK60" s="4"/>
      <c r="AL60" s="6"/>
      <c r="AM60" s="4"/>
      <c r="AN60" s="4"/>
      <c r="AO60" s="4"/>
      <c r="AP60" s="4"/>
      <c r="AQ60" s="4"/>
      <c r="AR60" s="4"/>
      <c r="AS60" s="4"/>
      <c r="AT60" s="4"/>
      <c r="AU60" s="18"/>
      <c r="AV60" s="18"/>
      <c r="AW60" s="4"/>
      <c r="AX60" s="4"/>
      <c r="AY60" s="4"/>
      <c r="AZ60" s="4"/>
      <c r="BA60" s="57">
        <f t="shared" si="4"/>
        <v>1</v>
      </c>
      <c r="BB60" s="58" t="s">
        <v>19</v>
      </c>
      <c r="BC60" s="65"/>
      <c r="BD60" s="73"/>
      <c r="BE60" s="43"/>
    </row>
    <row r="61" spans="1:57" s="8" customFormat="1" ht="11.25">
      <c r="A61" s="28" t="s">
        <v>189</v>
      </c>
      <c r="B61" s="9" t="str">
        <f>"DOSSZIÉ (MŰANYAG HÁTLAPOS) FŰZŐS"</f>
        <v>DOSSZIÉ (MŰANYAG HÁTLAPOS) FŰZŐS</v>
      </c>
      <c r="C61" s="9" t="s">
        <v>76</v>
      </c>
      <c r="D61" s="20" t="s">
        <v>19</v>
      </c>
      <c r="E61" s="4">
        <v>4</v>
      </c>
      <c r="F61" s="17"/>
      <c r="G61" s="4"/>
      <c r="H61" s="4"/>
      <c r="I61" s="4"/>
      <c r="J61" s="4"/>
      <c r="K61" s="4"/>
      <c r="L61" s="4"/>
      <c r="M61" s="4"/>
      <c r="N61" s="4"/>
      <c r="O61" s="4">
        <v>25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17"/>
      <c r="AK61" s="4"/>
      <c r="AL61" s="4"/>
      <c r="AM61" s="4"/>
      <c r="AN61" s="4"/>
      <c r="AO61" s="4"/>
      <c r="AP61" s="4"/>
      <c r="AQ61" s="4"/>
      <c r="AR61" s="4">
        <v>2</v>
      </c>
      <c r="AS61" s="4"/>
      <c r="AT61" s="4"/>
      <c r="AU61" s="4"/>
      <c r="AV61" s="4"/>
      <c r="AW61" s="4"/>
      <c r="AX61" s="4"/>
      <c r="AY61" s="4"/>
      <c r="AZ61" s="4"/>
      <c r="BA61" s="57">
        <f t="shared" si="4"/>
        <v>31</v>
      </c>
      <c r="BB61" s="58" t="s">
        <v>19</v>
      </c>
      <c r="BC61" s="65"/>
      <c r="BD61" s="73"/>
      <c r="BE61" s="53"/>
    </row>
    <row r="62" spans="1:57" s="9" customFormat="1" ht="11.25" hidden="1">
      <c r="A62" s="28"/>
      <c r="B62" s="9" t="str">
        <f>"ETIKETT CIMKE (DATALINE)"</f>
        <v>ETIKETT CIMKE (DATALINE)</v>
      </c>
      <c r="C62" s="9" t="str">
        <f>"99,1X57 MM"</f>
        <v>99,1X57 MM</v>
      </c>
      <c r="D62" s="17"/>
      <c r="E62" s="4"/>
      <c r="F62" s="1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17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57">
        <f t="shared" si="4"/>
        <v>0</v>
      </c>
      <c r="BB62" s="56"/>
      <c r="BC62" s="65"/>
      <c r="BD62" s="73"/>
      <c r="BE62" s="43"/>
    </row>
    <row r="63" spans="1:57" s="9" customFormat="1" ht="11.25" hidden="1">
      <c r="A63" s="28"/>
      <c r="B63" s="9" t="str">
        <f>"ETIKETT CIMKE (PÁTRIA)"</f>
        <v>ETIKETT CIMKE (PÁTRIA)</v>
      </c>
      <c r="C63" s="9" t="str">
        <f>"115X086 MM"</f>
        <v>115X086 MM</v>
      </c>
      <c r="D63" s="17"/>
      <c r="E63" s="4"/>
      <c r="F63" s="17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17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57">
        <f t="shared" si="4"/>
        <v>0</v>
      </c>
      <c r="BB63" s="56"/>
      <c r="BC63" s="65"/>
      <c r="BD63" s="73"/>
      <c r="BE63" s="43"/>
    </row>
    <row r="64" spans="1:57" s="9" customFormat="1" ht="11.25" hidden="1">
      <c r="A64" s="28"/>
      <c r="B64" s="9" t="str">
        <f>"ETIKETT CIMKE (PÁTRIA)"</f>
        <v>ETIKETT CIMKE (PÁTRIA)</v>
      </c>
      <c r="C64" s="9" t="str">
        <f>"63,5X38,1 MM"</f>
        <v>63,5X38,1 MM</v>
      </c>
      <c r="D64" s="17"/>
      <c r="E64" s="4"/>
      <c r="F64" s="17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17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57">
        <f t="shared" si="4"/>
        <v>0</v>
      </c>
      <c r="BB64" s="56"/>
      <c r="BC64" s="65"/>
      <c r="BD64" s="73"/>
      <c r="BE64" s="43"/>
    </row>
    <row r="65" spans="1:57" s="9" customFormat="1" ht="11.25" hidden="1">
      <c r="A65" s="28"/>
      <c r="B65" s="9" t="str">
        <f>"ETIKETT CIMKE (PÁTRIA)"</f>
        <v>ETIKETT CIMKE (PÁTRIA)</v>
      </c>
      <c r="C65" s="9" t="str">
        <f>"89,0X35,0 MM"</f>
        <v>89,0X35,0 MM</v>
      </c>
      <c r="D65" s="17"/>
      <c r="E65" s="4"/>
      <c r="F65" s="17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17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57">
        <f t="shared" si="4"/>
        <v>0</v>
      </c>
      <c r="BB65" s="56"/>
      <c r="BC65" s="65"/>
      <c r="BD65" s="73"/>
      <c r="BE65" s="43"/>
    </row>
    <row r="66" spans="1:57" s="9" customFormat="1" ht="11.25" hidden="1">
      <c r="A66" s="28"/>
      <c r="B66" s="9" t="str">
        <f>"ETIKETT CIMKE (STENDFORM)"</f>
        <v>ETIKETT CIMKE (STENDFORM)</v>
      </c>
      <c r="C66" s="9" t="str">
        <f>"210X148 MM"</f>
        <v>210X148 MM</v>
      </c>
      <c r="D66" s="17"/>
      <c r="E66" s="4"/>
      <c r="F66" s="17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17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57">
        <f t="shared" si="4"/>
        <v>0</v>
      </c>
      <c r="BB66" s="56"/>
      <c r="BC66" s="65"/>
      <c r="BD66" s="73"/>
      <c r="BE66" s="43"/>
    </row>
    <row r="67" spans="1:57" s="9" customFormat="1" ht="11.25" hidden="1">
      <c r="A67" s="28"/>
      <c r="B67" s="9" t="str">
        <f>"ETIKETT CIMKE (STENDFORM)"</f>
        <v>ETIKETT CIMKE (STENDFORM)</v>
      </c>
      <c r="C67" s="9" t="str">
        <f>"210X297 MM"</f>
        <v>210X297 MM</v>
      </c>
      <c r="D67" s="17"/>
      <c r="E67" s="4"/>
      <c r="F67" s="17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17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57">
        <f t="shared" si="4"/>
        <v>0</v>
      </c>
      <c r="BB67" s="56"/>
      <c r="BC67" s="65"/>
      <c r="BD67" s="73"/>
      <c r="BE67" s="43"/>
    </row>
    <row r="68" spans="1:57" s="9" customFormat="1" ht="11.25" hidden="1">
      <c r="A68" s="28"/>
      <c r="B68" s="9" t="str">
        <f>"FAXFILM (FÓLIA)"</f>
        <v>FAXFILM (FÓLIA)</v>
      </c>
      <c r="C68" s="9" t="str">
        <f>"PANASONIC KX-FA 54X"</f>
        <v>PANASONIC KX-FA 54X</v>
      </c>
      <c r="D68" s="17"/>
      <c r="E68" s="4"/>
      <c r="F68" s="17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7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57">
        <f t="shared" si="4"/>
        <v>0</v>
      </c>
      <c r="BB68" s="56"/>
      <c r="BC68" s="65"/>
      <c r="BD68" s="73"/>
      <c r="BE68" s="43"/>
    </row>
    <row r="69" spans="1:57" s="8" customFormat="1" ht="11.25" hidden="1">
      <c r="A69" s="28"/>
      <c r="B69" s="9" t="str">
        <f>"FELÍRÓTÁBLA"</f>
        <v>FELÍRÓTÁBLA</v>
      </c>
      <c r="C69" s="9" t="str">
        <f>"A/4"</f>
        <v>A/4</v>
      </c>
      <c r="D69" s="20"/>
      <c r="E69" s="5"/>
      <c r="F69" s="1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7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7">
        <f t="shared" si="4"/>
        <v>0</v>
      </c>
      <c r="BB69" s="58"/>
      <c r="BC69" s="65"/>
      <c r="BD69" s="73"/>
      <c r="BE69" s="43"/>
    </row>
    <row r="70" spans="1:57" s="9" customFormat="1" ht="11.25" hidden="1">
      <c r="A70" s="28"/>
      <c r="B70" s="9" t="str">
        <f>"FELTÉTEL MEGHATÁROZÁS ALKALOMSZERŰ"</f>
        <v>FELTÉTEL MEGHATÁROZÁS ALKALOMSZERŰ</v>
      </c>
      <c r="C70" s="9" t="str">
        <f>"TŰZVESZÉLYES TEVÉKENYSÉG VÉGZÉSÉHEZ"</f>
        <v>TŰZVESZÉLYES TEVÉKENYSÉG VÉGZÉSÉHEZ</v>
      </c>
      <c r="D70" s="17"/>
      <c r="E70" s="4"/>
      <c r="F70" s="17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17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57">
        <f t="shared" si="4"/>
        <v>0</v>
      </c>
      <c r="BB70" s="56"/>
      <c r="BC70" s="65"/>
      <c r="BD70" s="73"/>
      <c r="BE70" s="43"/>
    </row>
    <row r="71" spans="1:57" s="9" customFormat="1" ht="11.25" hidden="1">
      <c r="A71" s="28"/>
      <c r="B71" s="9" t="str">
        <f>"FELVÁSÁRLÁSI JEGY"</f>
        <v>FELVÁSÁRLÁSI JEGY</v>
      </c>
      <c r="D71" s="17"/>
      <c r="E71" s="4"/>
      <c r="F71" s="1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17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57">
        <f t="shared" si="4"/>
        <v>0</v>
      </c>
      <c r="BB71" s="56"/>
      <c r="BC71" s="65"/>
      <c r="BD71" s="73"/>
      <c r="BE71" s="53"/>
    </row>
    <row r="72" spans="1:57" s="8" customFormat="1" ht="11.25" hidden="1">
      <c r="A72" s="28"/>
      <c r="B72" s="9" t="str">
        <f>"FÉNYMÁSOLÓ PAPÍR (CANON)"</f>
        <v>FÉNYMÁSOLÓ PAPÍR (CANON)</v>
      </c>
      <c r="C72" s="9" t="str">
        <f>"A/4 (80 GRAMM)"</f>
        <v>A/4 (80 GRAMM)</v>
      </c>
      <c r="D72" s="20"/>
      <c r="E72" s="5"/>
      <c r="F72" s="1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7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7">
        <f t="shared" si="4"/>
        <v>0</v>
      </c>
      <c r="BB72" s="58"/>
      <c r="BC72" s="65"/>
      <c r="BD72" s="73"/>
      <c r="BE72" s="53"/>
    </row>
    <row r="73" spans="1:57" s="8" customFormat="1" ht="11.25" hidden="1">
      <c r="A73" s="28"/>
      <c r="B73" s="9" t="str">
        <f>"FÉNYMÁSOLÓ PAPÍR (CLAIREFONTAINE)"</f>
        <v>FÉNYMÁSOLÓ PAPÍR (CLAIREFONTAINE)</v>
      </c>
      <c r="C73" s="9" t="str">
        <f>"A/4"</f>
        <v>A/4</v>
      </c>
      <c r="D73" s="20"/>
      <c r="E73" s="5"/>
      <c r="F73" s="1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17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7">
        <f t="shared" si="4"/>
        <v>0</v>
      </c>
      <c r="BB73" s="58"/>
      <c r="BC73" s="65"/>
      <c r="BD73" s="73"/>
      <c r="BE73" s="53"/>
    </row>
    <row r="74" spans="1:57" s="8" customFormat="1" ht="11.25" hidden="1">
      <c r="A74" s="28"/>
      <c r="B74" s="9" t="str">
        <f>"FÉNYMÁSOLÓ PAPÍR (IBM)"</f>
        <v>FÉNYMÁSOLÓ PAPÍR (IBM)</v>
      </c>
      <c r="C74" s="9" t="str">
        <f>"A/4 (80 GRAMM)"</f>
        <v>A/4 (80 GRAMM)</v>
      </c>
      <c r="D74" s="20"/>
      <c r="E74" s="5"/>
      <c r="F74" s="1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7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7">
        <f t="shared" si="4"/>
        <v>0</v>
      </c>
      <c r="BB74" s="58"/>
      <c r="BC74" s="65"/>
      <c r="BD74" s="73"/>
      <c r="BE74" s="53"/>
    </row>
    <row r="75" spans="1:57" s="8" customFormat="1" ht="11.25" hidden="1">
      <c r="A75" s="28"/>
      <c r="B75" s="9" t="str">
        <f>"FÉNYMÁSOLÓ PAPÍR (REY COPY)"</f>
        <v>FÉNYMÁSOLÓ PAPÍR (REY COPY)</v>
      </c>
      <c r="C75" s="9" t="str">
        <f>"A/3 (80 GRAMM)"</f>
        <v>A/3 (80 GRAMM)</v>
      </c>
      <c r="D75" s="20"/>
      <c r="E75" s="5"/>
      <c r="F75" s="1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7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7">
        <f t="shared" si="4"/>
        <v>0</v>
      </c>
      <c r="BB75" s="58"/>
      <c r="BC75" s="65"/>
      <c r="BD75" s="73"/>
      <c r="BE75" s="53"/>
    </row>
    <row r="76" spans="1:57" s="8" customFormat="1" ht="11.25" hidden="1">
      <c r="A76" s="28"/>
      <c r="B76" s="9" t="str">
        <f>"FÉNYMÁSOLÓ PAPÍR (REY COPY)"</f>
        <v>FÉNYMÁSOLÓ PAPÍR (REY COPY)</v>
      </c>
      <c r="C76" s="9" t="str">
        <f>"A/4 (80 GRAMM)"</f>
        <v>A/4 (80 GRAMM)</v>
      </c>
      <c r="D76" s="20"/>
      <c r="E76" s="5"/>
      <c r="F76" s="1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17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7">
        <f t="shared" si="4"/>
        <v>0</v>
      </c>
      <c r="BB76" s="58"/>
      <c r="BC76" s="65"/>
      <c r="BD76" s="73"/>
      <c r="BE76" s="53"/>
    </row>
    <row r="77" spans="1:57" s="9" customFormat="1" ht="11.25">
      <c r="A77" s="28" t="s">
        <v>190</v>
      </c>
      <c r="B77" s="9" t="str">
        <f>"DOSSZIÉ (MŰANYAG HÁTLAPOS) FŰZŐS"</f>
        <v>DOSSZIÉ (MŰANYAG HÁTLAPOS) FŰZŐS</v>
      </c>
      <c r="C77" s="9" t="s">
        <v>99</v>
      </c>
      <c r="D77" s="20" t="s">
        <v>19</v>
      </c>
      <c r="E77" s="5"/>
      <c r="F77" s="17"/>
      <c r="G77" s="5"/>
      <c r="H77" s="5"/>
      <c r="I77" s="5">
        <v>3</v>
      </c>
      <c r="J77" s="5">
        <v>5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7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7">
        <f t="shared" si="4"/>
        <v>8</v>
      </c>
      <c r="BB77" s="58" t="s">
        <v>19</v>
      </c>
      <c r="BC77" s="65"/>
      <c r="BD77" s="73"/>
      <c r="BE77" s="43"/>
    </row>
    <row r="78" spans="1:57" s="9" customFormat="1" ht="11.25" hidden="1">
      <c r="A78" s="28"/>
      <c r="B78" s="9" t="str">
        <f>"FESTÉFHENGER 1220C."</f>
        <v>FESTÉFHENGER 1220C.</v>
      </c>
      <c r="D78" s="17"/>
      <c r="E78" s="4"/>
      <c r="F78" s="17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17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57">
        <f t="shared" si="4"/>
        <v>0</v>
      </c>
      <c r="BB78" s="56"/>
      <c r="BC78" s="65"/>
      <c r="BD78" s="73"/>
      <c r="BE78" s="43"/>
    </row>
    <row r="79" spans="1:57" s="9" customFormat="1" ht="11.25" hidden="1">
      <c r="A79" s="28"/>
      <c r="B79" s="9" t="str">
        <f>"FESTÉFHENGER HP 7115"</f>
        <v>FESTÉFHENGER HP 7115</v>
      </c>
      <c r="D79" s="17"/>
      <c r="E79" s="4"/>
      <c r="F79" s="17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7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57">
        <f t="shared" si="4"/>
        <v>0</v>
      </c>
      <c r="BB79" s="56"/>
      <c r="BC79" s="65"/>
      <c r="BD79" s="73"/>
      <c r="BE79" s="43"/>
    </row>
    <row r="80" spans="1:57" s="9" customFormat="1" ht="11.25" hidden="1">
      <c r="A80" s="28"/>
      <c r="B80" s="9" t="str">
        <f>"FESTÉKHENGER (720MP 212)"</f>
        <v>FESTÉKHENGER (720MP 212)</v>
      </c>
      <c r="C80" s="9" t="str">
        <f>"SHARP ASZTALI SZÁMOLÓGÉPHEZ"</f>
        <v>SHARP ASZTALI SZÁMOLÓGÉPHEZ</v>
      </c>
      <c r="D80" s="17"/>
      <c r="E80" s="4"/>
      <c r="F80" s="17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7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57">
        <f t="shared" si="4"/>
        <v>0</v>
      </c>
      <c r="BB80" s="56"/>
      <c r="BC80" s="65"/>
      <c r="BD80" s="73"/>
      <c r="BE80" s="43"/>
    </row>
    <row r="81" spans="1:57" s="9" customFormat="1" ht="11.25" hidden="1">
      <c r="A81" s="28"/>
      <c r="B81" s="9" t="str">
        <f>"FESTÉKPATRON (150)"</f>
        <v>FESTÉKPATRON (150)</v>
      </c>
      <c r="D81" s="17"/>
      <c r="E81" s="4"/>
      <c r="F81" s="17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7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57">
        <f t="shared" si="4"/>
        <v>0</v>
      </c>
      <c r="BB81" s="56"/>
      <c r="BC81" s="65"/>
      <c r="BD81" s="73"/>
      <c r="BE81" s="43"/>
    </row>
    <row r="82" spans="1:57" s="9" customFormat="1" ht="11.25" hidden="1">
      <c r="A82" s="28"/>
      <c r="B82" s="9" t="str">
        <f>"FESTÉKPATRON (CANON BC-02)"</f>
        <v>FESTÉKPATRON (CANON BC-02)</v>
      </c>
      <c r="D82" s="17"/>
      <c r="E82" s="4"/>
      <c r="F82" s="17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7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57">
        <f t="shared" si="4"/>
        <v>0</v>
      </c>
      <c r="BB82" s="56"/>
      <c r="BC82" s="65"/>
      <c r="BD82" s="73"/>
      <c r="BE82" s="43"/>
    </row>
    <row r="83" spans="1:57" s="9" customFormat="1" ht="11.25" hidden="1">
      <c r="A83" s="28"/>
      <c r="B83" s="9" t="str">
        <f>"FESTÉKPATRON (CANON BC-02) FEKETE"</f>
        <v>FESTÉKPATRON (CANON BC-02) FEKETE</v>
      </c>
      <c r="D83" s="17"/>
      <c r="E83" s="4"/>
      <c r="F83" s="17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7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57">
        <f t="shared" si="4"/>
        <v>0</v>
      </c>
      <c r="BB83" s="56"/>
      <c r="BC83" s="65"/>
      <c r="BD83" s="73"/>
      <c r="BE83" s="43"/>
    </row>
    <row r="84" spans="1:57" s="9" customFormat="1" ht="11.25" hidden="1">
      <c r="A84" s="28"/>
      <c r="B84" s="9" t="str">
        <f>"FESTÉKPATRON (CANON BC-05) SZÍNES"</f>
        <v>FESTÉKPATRON (CANON BC-05) SZÍNES</v>
      </c>
      <c r="D84" s="17"/>
      <c r="E84" s="4"/>
      <c r="F84" s="17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7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57">
        <f aca="true" t="shared" si="5" ref="BA84:BA115">SUM(E84:AZ84)</f>
        <v>0</v>
      </c>
      <c r="BB84" s="56"/>
      <c r="BC84" s="65"/>
      <c r="BD84" s="73"/>
      <c r="BE84" s="43"/>
    </row>
    <row r="85" spans="1:57" s="9" customFormat="1" ht="11.25" hidden="1">
      <c r="A85" s="28"/>
      <c r="B85" s="9" t="str">
        <f>"FESTÉKPATRON (CANON BCI-24)"</f>
        <v>FESTÉKPATRON (CANON BCI-24)</v>
      </c>
      <c r="D85" s="17"/>
      <c r="E85" s="4"/>
      <c r="F85" s="17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7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57">
        <f t="shared" si="5"/>
        <v>0</v>
      </c>
      <c r="BB85" s="56"/>
      <c r="BC85" s="65"/>
      <c r="BD85" s="73"/>
      <c r="BE85" s="53"/>
    </row>
    <row r="86" spans="1:57" s="8" customFormat="1" ht="11.25" hidden="1">
      <c r="A86" s="28"/>
      <c r="B86" s="9" t="str">
        <f>"FOTÓALBUM"</f>
        <v>FOTÓALBUM</v>
      </c>
      <c r="C86" s="9"/>
      <c r="D86" s="20"/>
      <c r="E86" s="5"/>
      <c r="F86" s="17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7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7">
        <f t="shared" si="5"/>
        <v>0</v>
      </c>
      <c r="BB86" s="58"/>
      <c r="BC86" s="65"/>
      <c r="BD86" s="73"/>
      <c r="BE86" s="53"/>
    </row>
    <row r="87" spans="1:57" s="8" customFormat="1" ht="11.25" hidden="1">
      <c r="A87" s="28"/>
      <c r="B87" s="9" t="str">
        <f>"FOTÓPAPÍR (EPSON PHOTO QUALITY)"</f>
        <v>FOTÓPAPÍR (EPSON PHOTO QUALITY)</v>
      </c>
      <c r="C87" s="9" t="str">
        <f>"A/4 (102GR/M2) 100DB-OS"</f>
        <v>A/4 (102GR/M2) 100DB-OS</v>
      </c>
      <c r="D87" s="20"/>
      <c r="E87" s="5"/>
      <c r="F87" s="17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7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7">
        <f t="shared" si="5"/>
        <v>0</v>
      </c>
      <c r="BB87" s="58"/>
      <c r="BC87" s="65"/>
      <c r="BD87" s="73"/>
      <c r="BE87" s="53"/>
    </row>
    <row r="88" spans="1:57" s="8" customFormat="1" ht="11.25" hidden="1">
      <c r="A88" s="28"/>
      <c r="B88" s="9" t="str">
        <f>"FOTÓPAPÍR (HP)"</f>
        <v>FOTÓPAPÍR (HP)</v>
      </c>
      <c r="C88" s="9" t="str">
        <f>"A/4"</f>
        <v>A/4</v>
      </c>
      <c r="D88" s="20"/>
      <c r="E88" s="5"/>
      <c r="F88" s="17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7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7">
        <f t="shared" si="5"/>
        <v>0</v>
      </c>
      <c r="BB88" s="58"/>
      <c r="BC88" s="65"/>
      <c r="BD88" s="73"/>
      <c r="BE88" s="53"/>
    </row>
    <row r="89" spans="1:57" s="8" customFormat="1" ht="11.25" hidden="1">
      <c r="A89" s="28"/>
      <c r="B89" s="9" t="str">
        <f>"FOTÓPAPÍR (HP)"</f>
        <v>FOTÓPAPÍR (HP)</v>
      </c>
      <c r="C89" s="9" t="str">
        <f>"A/4"</f>
        <v>A/4</v>
      </c>
      <c r="D89" s="20"/>
      <c r="E89" s="5"/>
      <c r="F89" s="1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7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7">
        <f t="shared" si="5"/>
        <v>0</v>
      </c>
      <c r="BB89" s="58"/>
      <c r="BC89" s="65"/>
      <c r="BD89" s="73"/>
      <c r="BE89" s="53"/>
    </row>
    <row r="90" spans="1:57" s="8" customFormat="1" ht="11.25" hidden="1">
      <c r="A90" s="28"/>
      <c r="B90" s="9" t="str">
        <f>"FRANCIAKOCKÁS LAP"</f>
        <v>FRANCIAKOCKÁS LAP</v>
      </c>
      <c r="C90" s="9" t="str">
        <f>"A/3"</f>
        <v>A/3</v>
      </c>
      <c r="D90" s="20"/>
      <c r="E90" s="5"/>
      <c r="F90" s="1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7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7">
        <f t="shared" si="5"/>
        <v>0</v>
      </c>
      <c r="BB90" s="58"/>
      <c r="BC90" s="65"/>
      <c r="BD90" s="73"/>
      <c r="BE90" s="53"/>
    </row>
    <row r="91" spans="1:57" s="8" customFormat="1" ht="11.25" hidden="1">
      <c r="A91" s="28"/>
      <c r="B91" s="9" t="str">
        <f>"FRANCIAKOCKÁS LAP (RASZTER RÁCSOS)"</f>
        <v>FRANCIAKOCKÁS LAP (RASZTER RÁCSOS)</v>
      </c>
      <c r="C91" s="9" t="str">
        <f>"A/4"</f>
        <v>A/4</v>
      </c>
      <c r="D91" s="20"/>
      <c r="E91" s="5"/>
      <c r="F91" s="1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7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7">
        <f t="shared" si="5"/>
        <v>0</v>
      </c>
      <c r="BB91" s="58"/>
      <c r="BC91" s="65"/>
      <c r="BD91" s="73"/>
      <c r="BE91" s="43"/>
    </row>
    <row r="92" spans="1:57" s="8" customFormat="1" ht="11.25">
      <c r="A92" s="28" t="s">
        <v>191</v>
      </c>
      <c r="B92" s="9" t="str">
        <f>"DOSSZIÉ (MŰANYAG HÁTLAPOS) FŰZŐS"</f>
        <v>DOSSZIÉ (MŰANYAG HÁTLAPOS) FŰZŐS</v>
      </c>
      <c r="C92" s="9" t="s">
        <v>101</v>
      </c>
      <c r="D92" s="20" t="s">
        <v>19</v>
      </c>
      <c r="E92" s="5"/>
      <c r="F92" s="17"/>
      <c r="G92" s="5"/>
      <c r="H92" s="5"/>
      <c r="I92" s="5">
        <v>3</v>
      </c>
      <c r="J92" s="5">
        <v>5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5</v>
      </c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7"/>
      <c r="AK92" s="5"/>
      <c r="AL92" s="5"/>
      <c r="AM92" s="5"/>
      <c r="AN92" s="5"/>
      <c r="AO92" s="5"/>
      <c r="AP92" s="5"/>
      <c r="AQ92" s="5"/>
      <c r="AR92" s="5"/>
      <c r="AS92" s="5">
        <v>2</v>
      </c>
      <c r="AT92" s="5"/>
      <c r="AU92" s="5"/>
      <c r="AV92" s="5"/>
      <c r="AW92" s="5"/>
      <c r="AX92" s="5"/>
      <c r="AY92" s="5"/>
      <c r="AZ92" s="5"/>
      <c r="BA92" s="57">
        <f t="shared" si="5"/>
        <v>15</v>
      </c>
      <c r="BB92" s="58" t="s">
        <v>19</v>
      </c>
      <c r="BC92" s="65"/>
      <c r="BD92" s="73"/>
      <c r="BE92" s="53"/>
    </row>
    <row r="93" spans="1:57" s="8" customFormat="1" ht="11.25" hidden="1">
      <c r="A93" s="28"/>
      <c r="B93" s="9" t="str">
        <f>"DOSSZIÉ (MŰANYAG HÁTLAPOS) FŰZŐS"</f>
        <v>DOSSZIÉ (MŰANYAG HÁTLAPOS) FŰZŐS</v>
      </c>
      <c r="C93" s="9" t="str">
        <f>"A/4"</f>
        <v>A/4</v>
      </c>
      <c r="D93" s="20" t="s">
        <v>19</v>
      </c>
      <c r="E93" s="5"/>
      <c r="F93" s="1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7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7">
        <f t="shared" si="5"/>
        <v>0</v>
      </c>
      <c r="BB93" s="58" t="s">
        <v>19</v>
      </c>
      <c r="BC93" s="65"/>
      <c r="BD93" s="73"/>
      <c r="BE93" s="53"/>
    </row>
    <row r="94" spans="1:57" s="8" customFormat="1" ht="11.25">
      <c r="A94" s="28" t="s">
        <v>192</v>
      </c>
      <c r="B94" s="9" t="str">
        <f>"DOSSZIÉ (MŰANYAG HÁTLAPOS) FŰZŐS"</f>
        <v>DOSSZIÉ (MŰANYAG HÁTLAPOS) FŰZŐS</v>
      </c>
      <c r="C94" s="9" t="s">
        <v>100</v>
      </c>
      <c r="D94" s="20" t="s">
        <v>19</v>
      </c>
      <c r="E94" s="5">
        <v>4</v>
      </c>
      <c r="F94" s="17"/>
      <c r="G94" s="5"/>
      <c r="H94" s="5"/>
      <c r="I94" s="5">
        <v>3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7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7">
        <f t="shared" si="5"/>
        <v>7</v>
      </c>
      <c r="BB94" s="58" t="s">
        <v>19</v>
      </c>
      <c r="BC94" s="65"/>
      <c r="BD94" s="73"/>
      <c r="BE94" s="53"/>
    </row>
    <row r="95" spans="1:57" s="8" customFormat="1" ht="11.25">
      <c r="A95" s="28" t="s">
        <v>193</v>
      </c>
      <c r="B95" s="9" t="str">
        <f>"DOSSZIÉ (PAPÍR) FŰZŐS"</f>
        <v>DOSSZIÉ (PAPÍR) FŰZŐS</v>
      </c>
      <c r="C95" s="9" t="str">
        <f>"A/4"</f>
        <v>A/4</v>
      </c>
      <c r="D95" s="20" t="s">
        <v>19</v>
      </c>
      <c r="E95" s="5"/>
      <c r="F95" s="17">
        <v>15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7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7">
        <f t="shared" si="5"/>
        <v>15</v>
      </c>
      <c r="BB95" s="58" t="s">
        <v>19</v>
      </c>
      <c r="BC95" s="65"/>
      <c r="BD95" s="73"/>
      <c r="BE95" s="53"/>
    </row>
    <row r="96" spans="1:57" s="8" customFormat="1" ht="11.25">
      <c r="A96" s="28" t="s">
        <v>194</v>
      </c>
      <c r="B96" s="9" t="str">
        <f>"DOSSZIÉ (PAPÍR) PÓLYÁS-HAJTOGATÓS"</f>
        <v>DOSSZIÉ (PAPÍR) PÓLYÁS-HAJTOGATÓS</v>
      </c>
      <c r="C96" s="9" t="str">
        <f>"A/4"</f>
        <v>A/4</v>
      </c>
      <c r="D96" s="20" t="s">
        <v>19</v>
      </c>
      <c r="E96" s="5"/>
      <c r="F96" s="17">
        <v>5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10</v>
      </c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7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7">
        <f t="shared" si="5"/>
        <v>15</v>
      </c>
      <c r="BB96" s="58" t="s">
        <v>19</v>
      </c>
      <c r="BC96" s="65"/>
      <c r="BD96" s="73"/>
      <c r="BE96" s="53"/>
    </row>
    <row r="97" spans="1:57" s="8" customFormat="1" ht="11.25" hidden="1">
      <c r="A97" s="28"/>
      <c r="B97" s="9" t="str">
        <f>"GÉMKAPOCS TARTÓ"</f>
        <v>GÉMKAPOCS TARTÓ</v>
      </c>
      <c r="C97" s="9" t="str">
        <f>"MÁGNESES"</f>
        <v>MÁGNESES</v>
      </c>
      <c r="D97" s="20" t="s">
        <v>19</v>
      </c>
      <c r="E97" s="5"/>
      <c r="F97" s="1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17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7">
        <f t="shared" si="5"/>
        <v>0</v>
      </c>
      <c r="BB97" s="58" t="s">
        <v>19</v>
      </c>
      <c r="BC97" s="65"/>
      <c r="BD97" s="73"/>
      <c r="BE97" s="53"/>
    </row>
    <row r="98" spans="1:57" s="8" customFormat="1" ht="11.25" hidden="1">
      <c r="A98" s="28"/>
      <c r="B98" s="9" t="str">
        <f>"GENOTHERMA (FÜLES)"</f>
        <v>GENOTHERMA (FÜLES)</v>
      </c>
      <c r="C98" s="9" t="str">
        <f>"A/4"</f>
        <v>A/4</v>
      </c>
      <c r="D98" s="20" t="s">
        <v>19</v>
      </c>
      <c r="E98" s="5"/>
      <c r="F98" s="1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17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7">
        <f t="shared" si="5"/>
        <v>0</v>
      </c>
      <c r="BB98" s="58" t="s">
        <v>19</v>
      </c>
      <c r="BC98" s="65"/>
      <c r="BD98" s="73"/>
      <c r="BE98" s="53"/>
    </row>
    <row r="99" spans="1:57" s="8" customFormat="1" ht="11.25">
      <c r="A99" s="27" t="s">
        <v>195</v>
      </c>
      <c r="B99" s="9" t="s">
        <v>74</v>
      </c>
      <c r="C99" s="1" t="s">
        <v>157</v>
      </c>
      <c r="D99" s="17" t="s">
        <v>29</v>
      </c>
      <c r="E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>
        <v>100</v>
      </c>
      <c r="BA99" s="57">
        <f t="shared" si="5"/>
        <v>100</v>
      </c>
      <c r="BB99" s="56" t="s">
        <v>29</v>
      </c>
      <c r="BC99" s="65"/>
      <c r="BD99" s="73"/>
      <c r="BE99" s="53"/>
    </row>
    <row r="100" spans="1:57" s="9" customFormat="1" ht="11.25" hidden="1">
      <c r="A100" s="28"/>
      <c r="B100" s="9" t="s">
        <v>102</v>
      </c>
      <c r="C100" s="9" t="str">
        <f>"A/4"</f>
        <v>A/4</v>
      </c>
      <c r="D100" s="17" t="s">
        <v>29</v>
      </c>
      <c r="E100" s="4"/>
      <c r="F100" s="17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17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57">
        <f t="shared" si="5"/>
        <v>0</v>
      </c>
      <c r="BB100" s="56" t="s">
        <v>29</v>
      </c>
      <c r="BC100" s="65"/>
      <c r="BD100" s="73"/>
      <c r="BE100" s="43"/>
    </row>
    <row r="101" spans="1:57" s="9" customFormat="1" ht="11.25" hidden="1">
      <c r="A101" s="28"/>
      <c r="B101" s="9" t="s">
        <v>103</v>
      </c>
      <c r="C101" s="9" t="str">
        <f>"A/4"</f>
        <v>A/4</v>
      </c>
      <c r="D101" s="17" t="s">
        <v>29</v>
      </c>
      <c r="E101" s="4"/>
      <c r="F101" s="17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17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57">
        <f t="shared" si="5"/>
        <v>0</v>
      </c>
      <c r="BB101" s="56" t="s">
        <v>29</v>
      </c>
      <c r="BC101" s="65"/>
      <c r="BD101" s="73"/>
      <c r="BE101" s="43"/>
    </row>
    <row r="102" spans="1:57" s="9" customFormat="1" ht="11.25" hidden="1">
      <c r="A102" s="28"/>
      <c r="B102" s="9" t="s">
        <v>104</v>
      </c>
      <c r="D102" s="17" t="s">
        <v>29</v>
      </c>
      <c r="E102" s="4"/>
      <c r="F102" s="17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17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57">
        <f t="shared" si="5"/>
        <v>0</v>
      </c>
      <c r="BB102" s="56" t="s">
        <v>29</v>
      </c>
      <c r="BC102" s="65"/>
      <c r="BD102" s="73"/>
      <c r="BE102" s="43"/>
    </row>
    <row r="103" spans="1:57" s="9" customFormat="1" ht="11.25" hidden="1">
      <c r="A103" s="28"/>
      <c r="B103" s="9" t="s">
        <v>105</v>
      </c>
      <c r="D103" s="17" t="s">
        <v>29</v>
      </c>
      <c r="E103" s="4"/>
      <c r="F103" s="17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17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57">
        <f t="shared" si="5"/>
        <v>0</v>
      </c>
      <c r="BB103" s="56" t="s">
        <v>29</v>
      </c>
      <c r="BC103" s="65"/>
      <c r="BD103" s="73"/>
      <c r="BE103" s="43"/>
    </row>
    <row r="104" spans="1:57" s="9" customFormat="1" ht="11.25" hidden="1">
      <c r="A104" s="28"/>
      <c r="B104" s="9" t="s">
        <v>106</v>
      </c>
      <c r="D104" s="17" t="s">
        <v>29</v>
      </c>
      <c r="E104" s="4"/>
      <c r="F104" s="17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17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57">
        <f t="shared" si="5"/>
        <v>0</v>
      </c>
      <c r="BB104" s="56" t="s">
        <v>29</v>
      </c>
      <c r="BC104" s="65"/>
      <c r="BD104" s="73"/>
      <c r="BE104" s="43"/>
    </row>
    <row r="105" spans="1:57" s="9" customFormat="1" ht="11.25" hidden="1">
      <c r="A105" s="28"/>
      <c r="B105" s="9" t="s">
        <v>107</v>
      </c>
      <c r="D105" s="17" t="s">
        <v>29</v>
      </c>
      <c r="E105" s="4"/>
      <c r="F105" s="17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17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57">
        <f t="shared" si="5"/>
        <v>0</v>
      </c>
      <c r="BB105" s="56" t="s">
        <v>29</v>
      </c>
      <c r="BC105" s="65"/>
      <c r="BD105" s="73"/>
      <c r="BE105" s="43"/>
    </row>
    <row r="106" spans="1:57" s="9" customFormat="1" ht="11.25" hidden="1">
      <c r="A106" s="28"/>
      <c r="B106" s="9" t="s">
        <v>108</v>
      </c>
      <c r="D106" s="17" t="s">
        <v>29</v>
      </c>
      <c r="E106" s="4"/>
      <c r="F106" s="17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17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57">
        <f t="shared" si="5"/>
        <v>0</v>
      </c>
      <c r="BB106" s="56" t="s">
        <v>29</v>
      </c>
      <c r="BC106" s="65"/>
      <c r="BD106" s="73"/>
      <c r="BE106" s="43"/>
    </row>
    <row r="107" spans="1:57" s="9" customFormat="1" ht="11.25" hidden="1">
      <c r="A107" s="28"/>
      <c r="B107" s="9" t="s">
        <v>153</v>
      </c>
      <c r="D107" s="17" t="s">
        <v>29</v>
      </c>
      <c r="E107" s="4"/>
      <c r="F107" s="17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17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57">
        <f t="shared" si="5"/>
        <v>0</v>
      </c>
      <c r="BB107" s="56" t="s">
        <v>29</v>
      </c>
      <c r="BC107" s="65"/>
      <c r="BD107" s="73"/>
      <c r="BE107" s="43"/>
    </row>
    <row r="108" spans="1:57" s="9" customFormat="1" ht="11.25">
      <c r="A108" s="28" t="s">
        <v>196</v>
      </c>
      <c r="B108" s="9" t="s">
        <v>74</v>
      </c>
      <c r="C108" s="42" t="s">
        <v>156</v>
      </c>
      <c r="D108" s="17" t="s">
        <v>29</v>
      </c>
      <c r="E108" s="4">
        <v>2</v>
      </c>
      <c r="F108" s="17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17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57">
        <f t="shared" si="5"/>
        <v>2</v>
      </c>
      <c r="BB108" s="56" t="s">
        <v>29</v>
      </c>
      <c r="BC108" s="65"/>
      <c r="BD108" s="73"/>
      <c r="BE108" s="43"/>
    </row>
    <row r="109" spans="1:57" s="9" customFormat="1" ht="11.25">
      <c r="A109" s="28" t="s">
        <v>197</v>
      </c>
      <c r="B109" s="9" t="s">
        <v>74</v>
      </c>
      <c r="C109" s="1" t="s">
        <v>155</v>
      </c>
      <c r="D109" s="17" t="s">
        <v>29</v>
      </c>
      <c r="E109" s="4"/>
      <c r="F109" s="17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>
        <v>5</v>
      </c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17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57">
        <f t="shared" si="5"/>
        <v>5</v>
      </c>
      <c r="BB109" s="56" t="s">
        <v>29</v>
      </c>
      <c r="BC109" s="65"/>
      <c r="BD109" s="73"/>
      <c r="BE109" s="43"/>
    </row>
    <row r="110" spans="1:57" s="9" customFormat="1" ht="11.25">
      <c r="A110" s="28" t="s">
        <v>198</v>
      </c>
      <c r="B110" s="9" t="s">
        <v>74</v>
      </c>
      <c r="C110" s="9" t="str">
        <f>"105X058 MM"</f>
        <v>105X058 MM</v>
      </c>
      <c r="D110" s="17" t="s">
        <v>29</v>
      </c>
      <c r="E110" s="4"/>
      <c r="F110" s="17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17"/>
      <c r="AK110" s="4"/>
      <c r="AL110" s="4"/>
      <c r="AM110" s="4"/>
      <c r="AN110" s="4"/>
      <c r="AO110" s="4">
        <v>10</v>
      </c>
      <c r="AP110" s="4"/>
      <c r="AQ110" s="4">
        <v>20</v>
      </c>
      <c r="AR110" s="4"/>
      <c r="AS110" s="4"/>
      <c r="AT110" s="4"/>
      <c r="AU110" s="4"/>
      <c r="AV110" s="4"/>
      <c r="AW110" s="4"/>
      <c r="AX110" s="4"/>
      <c r="AY110" s="4"/>
      <c r="AZ110" s="4"/>
      <c r="BA110" s="57">
        <f t="shared" si="5"/>
        <v>30</v>
      </c>
      <c r="BB110" s="56" t="s">
        <v>29</v>
      </c>
      <c r="BC110" s="65"/>
      <c r="BD110" s="73"/>
      <c r="BE110" s="43"/>
    </row>
    <row r="111" spans="1:57" s="9" customFormat="1" ht="11.25">
      <c r="A111" s="28" t="s">
        <v>199</v>
      </c>
      <c r="B111" s="9" t="s">
        <v>133</v>
      </c>
      <c r="C111" s="9" t="s">
        <v>27</v>
      </c>
      <c r="D111" s="20" t="s">
        <v>19</v>
      </c>
      <c r="E111" s="4"/>
      <c r="F111" s="17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>
        <v>1</v>
      </c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17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57">
        <f t="shared" si="5"/>
        <v>1</v>
      </c>
      <c r="BB111" s="58" t="s">
        <v>19</v>
      </c>
      <c r="BC111" s="65"/>
      <c r="BD111" s="73"/>
      <c r="BE111" s="43"/>
    </row>
    <row r="112" spans="1:57" s="9" customFormat="1" ht="11.25" hidden="1">
      <c r="A112" s="28"/>
      <c r="B112" s="9" t="str">
        <f>"GOLYÓSTOLL (ÜGYFELES)"</f>
        <v>GOLYÓSTOLL (ÜGYFELES)</v>
      </c>
      <c r="D112" s="20" t="s">
        <v>19</v>
      </c>
      <c r="E112" s="4"/>
      <c r="F112" s="17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17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57">
        <f t="shared" si="5"/>
        <v>0</v>
      </c>
      <c r="BB112" s="58" t="s">
        <v>19</v>
      </c>
      <c r="BC112" s="65"/>
      <c r="BD112" s="73"/>
      <c r="BE112" s="43"/>
    </row>
    <row r="113" spans="1:57" s="9" customFormat="1" ht="11.25">
      <c r="A113" s="28" t="s">
        <v>200</v>
      </c>
      <c r="B113" s="9" t="s">
        <v>21</v>
      </c>
      <c r="C113" s="41" t="str">
        <f>"A/4 (80 GRAMM)"</f>
        <v>A/4 (80 GRAMM)</v>
      </c>
      <c r="D113" s="20" t="s">
        <v>20</v>
      </c>
      <c r="E113" s="5">
        <v>8</v>
      </c>
      <c r="F113" s="17">
        <v>5</v>
      </c>
      <c r="G113" s="5"/>
      <c r="H113" s="5"/>
      <c r="I113" s="5">
        <v>10</v>
      </c>
      <c r="J113" s="5">
        <v>25</v>
      </c>
      <c r="K113" s="5"/>
      <c r="L113" s="5">
        <v>25</v>
      </c>
      <c r="M113" s="5"/>
      <c r="N113" s="5"/>
      <c r="O113" s="5"/>
      <c r="P113" s="5"/>
      <c r="Q113" s="5"/>
      <c r="R113" s="5">
        <v>4</v>
      </c>
      <c r="S113" s="5">
        <v>5</v>
      </c>
      <c r="T113" s="5"/>
      <c r="U113" s="5">
        <v>6</v>
      </c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17"/>
      <c r="AK113" s="5"/>
      <c r="AL113" s="5"/>
      <c r="AM113" s="5"/>
      <c r="AN113" s="5">
        <v>25</v>
      </c>
      <c r="AO113" s="5">
        <v>25</v>
      </c>
      <c r="AP113" s="5">
        <v>25</v>
      </c>
      <c r="AQ113" s="5">
        <v>25</v>
      </c>
      <c r="AR113" s="5">
        <v>4</v>
      </c>
      <c r="AS113" s="5">
        <v>4</v>
      </c>
      <c r="AT113" s="5"/>
      <c r="AU113" s="5"/>
      <c r="AV113" s="5"/>
      <c r="AW113" s="5"/>
      <c r="AX113" s="5"/>
      <c r="AY113" s="5">
        <v>5</v>
      </c>
      <c r="AZ113" s="5"/>
      <c r="BA113" s="57">
        <f t="shared" si="5"/>
        <v>201</v>
      </c>
      <c r="BB113" s="58" t="s">
        <v>20</v>
      </c>
      <c r="BC113" s="65"/>
      <c r="BD113" s="73"/>
      <c r="BE113" s="43"/>
    </row>
    <row r="114" spans="1:57" s="9" customFormat="1" ht="11.25" hidden="1">
      <c r="A114" s="28"/>
      <c r="B114" s="9" t="str">
        <f>"GOLYÓSTOLL (ZEBRA N5200)"</f>
        <v>GOLYÓSTOLL (ZEBRA N5200)</v>
      </c>
      <c r="D114" s="20" t="s">
        <v>20</v>
      </c>
      <c r="E114" s="4"/>
      <c r="F114" s="17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17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57">
        <f t="shared" si="5"/>
        <v>0</v>
      </c>
      <c r="BB114" s="58" t="s">
        <v>20</v>
      </c>
      <c r="BC114" s="65"/>
      <c r="BD114" s="73"/>
      <c r="BE114" s="43"/>
    </row>
    <row r="115" spans="1:57" s="9" customFormat="1" ht="11.25" hidden="1">
      <c r="A115" s="28"/>
      <c r="B115" s="9" t="str">
        <f>"GOLYÓSTOLL (ZEBRA RUBBER 101)"</f>
        <v>GOLYÓSTOLL (ZEBRA RUBBER 101)</v>
      </c>
      <c r="D115" s="20" t="s">
        <v>20</v>
      </c>
      <c r="E115" s="4"/>
      <c r="F115" s="17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17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57">
        <f t="shared" si="5"/>
        <v>0</v>
      </c>
      <c r="BB115" s="58" t="s">
        <v>20</v>
      </c>
      <c r="BC115" s="65"/>
      <c r="BD115" s="73"/>
      <c r="BE115" s="43"/>
    </row>
    <row r="116" spans="1:57" s="9" customFormat="1" ht="11.25">
      <c r="A116" s="28" t="s">
        <v>201</v>
      </c>
      <c r="B116" s="9" t="s">
        <v>21</v>
      </c>
      <c r="C116" s="9" t="s">
        <v>154</v>
      </c>
      <c r="D116" s="20" t="s">
        <v>20</v>
      </c>
      <c r="E116" s="4">
        <v>2</v>
      </c>
      <c r="F116" s="17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>
        <v>1</v>
      </c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17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57">
        <f aca="true" t="shared" si="6" ref="BA116:BA147">SUM(E116:AZ116)</f>
        <v>3</v>
      </c>
      <c r="BB116" s="58" t="s">
        <v>20</v>
      </c>
      <c r="BC116" s="65"/>
      <c r="BD116" s="73"/>
      <c r="BE116" s="43"/>
    </row>
    <row r="117" spans="1:57" s="8" customFormat="1" ht="11.25">
      <c r="A117" s="28" t="s">
        <v>202</v>
      </c>
      <c r="B117" s="9" t="s">
        <v>81</v>
      </c>
      <c r="C117" s="9" t="s">
        <v>27</v>
      </c>
      <c r="D117" s="20" t="s">
        <v>19</v>
      </c>
      <c r="E117" s="4">
        <v>2</v>
      </c>
      <c r="F117" s="17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17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57">
        <f t="shared" si="6"/>
        <v>2</v>
      </c>
      <c r="BB117" s="58" t="s">
        <v>19</v>
      </c>
      <c r="BC117" s="65"/>
      <c r="BD117" s="73"/>
      <c r="BE117" s="53"/>
    </row>
    <row r="118" spans="1:57" s="9" customFormat="1" ht="11.25" hidden="1">
      <c r="A118" s="28"/>
      <c r="B118" s="9" t="str">
        <f aca="true" t="shared" si="7" ref="B118:B123">"GOLYÓSTOLL BETÉT"</f>
        <v>GOLYÓSTOLL BETÉT</v>
      </c>
      <c r="C118" s="9" t="str">
        <f>"4 SZÍNŰ (MINI)"</f>
        <v>4 SZÍNŰ (MINI)</v>
      </c>
      <c r="D118" s="20" t="s">
        <v>19</v>
      </c>
      <c r="E118" s="4"/>
      <c r="F118" s="17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17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57">
        <f t="shared" si="6"/>
        <v>0</v>
      </c>
      <c r="BB118" s="58" t="s">
        <v>19</v>
      </c>
      <c r="BC118" s="65"/>
      <c r="BD118" s="73"/>
      <c r="BE118" s="43"/>
    </row>
    <row r="119" spans="1:57" s="9" customFormat="1" ht="11.25" hidden="1">
      <c r="A119" s="28"/>
      <c r="B119" s="9" t="str">
        <f t="shared" si="7"/>
        <v>GOLYÓSTOLL BETÉT</v>
      </c>
      <c r="C119" s="9" t="str">
        <f>"HANDY"</f>
        <v>HANDY</v>
      </c>
      <c r="D119" s="20" t="s">
        <v>19</v>
      </c>
      <c r="E119" s="4"/>
      <c r="F119" s="17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17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57">
        <f t="shared" si="6"/>
        <v>0</v>
      </c>
      <c r="BB119" s="58" t="s">
        <v>19</v>
      </c>
      <c r="BC119" s="65"/>
      <c r="BD119" s="73"/>
      <c r="BE119" s="43"/>
    </row>
    <row r="120" spans="1:57" s="9" customFormat="1" ht="11.25" hidden="1">
      <c r="A120" s="28"/>
      <c r="B120" s="9" t="str">
        <f t="shared" si="7"/>
        <v>GOLYÓSTOLL BETÉT</v>
      </c>
      <c r="C120" s="9" t="str">
        <f>"PARKER"</f>
        <v>PARKER</v>
      </c>
      <c r="D120" s="20" t="s">
        <v>19</v>
      </c>
      <c r="E120" s="4"/>
      <c r="F120" s="17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17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57">
        <f t="shared" si="6"/>
        <v>0</v>
      </c>
      <c r="BB120" s="58" t="s">
        <v>19</v>
      </c>
      <c r="BC120" s="65"/>
      <c r="BD120" s="73"/>
      <c r="BE120" s="43"/>
    </row>
    <row r="121" spans="1:57" s="9" customFormat="1" ht="11.25" hidden="1">
      <c r="A121" s="28"/>
      <c r="B121" s="9" t="str">
        <f t="shared" si="7"/>
        <v>GOLYÓSTOLL BETÉT</v>
      </c>
      <c r="C121" s="9" t="str">
        <f>"PAX"</f>
        <v>PAX</v>
      </c>
      <c r="D121" s="20" t="s">
        <v>19</v>
      </c>
      <c r="E121" s="4"/>
      <c r="F121" s="17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17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57">
        <f t="shared" si="6"/>
        <v>0</v>
      </c>
      <c r="BB121" s="58" t="s">
        <v>19</v>
      </c>
      <c r="BC121" s="65"/>
      <c r="BD121" s="73"/>
      <c r="BE121" s="43"/>
    </row>
    <row r="122" spans="1:57" s="9" customFormat="1" ht="11.25" hidden="1">
      <c r="A122" s="28"/>
      <c r="B122" s="9" t="str">
        <f t="shared" si="7"/>
        <v>GOLYÓSTOLL BETÉT</v>
      </c>
      <c r="C122" s="9" t="str">
        <f>"PENAC (RB 98C 07)"</f>
        <v>PENAC (RB 98C 07)</v>
      </c>
      <c r="D122" s="20" t="s">
        <v>19</v>
      </c>
      <c r="E122" s="4"/>
      <c r="F122" s="17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17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57">
        <f t="shared" si="6"/>
        <v>0</v>
      </c>
      <c r="BB122" s="58" t="s">
        <v>19</v>
      </c>
      <c r="BC122" s="65"/>
      <c r="BD122" s="73"/>
      <c r="BE122" s="43"/>
    </row>
    <row r="123" spans="1:57" s="9" customFormat="1" ht="11.25" hidden="1">
      <c r="A123" s="28"/>
      <c r="B123" s="9" t="str">
        <f t="shared" si="7"/>
        <v>GOLYÓSTOLL BETÉT</v>
      </c>
      <c r="C123" s="9" t="str">
        <f>"PILOT"</f>
        <v>PILOT</v>
      </c>
      <c r="D123" s="20" t="s">
        <v>19</v>
      </c>
      <c r="E123" s="4"/>
      <c r="F123" s="17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17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57">
        <f t="shared" si="6"/>
        <v>0</v>
      </c>
      <c r="BB123" s="58" t="s">
        <v>19</v>
      </c>
      <c r="BC123" s="65"/>
      <c r="BD123" s="73"/>
      <c r="BE123" s="43"/>
    </row>
    <row r="124" spans="1:57" s="8" customFormat="1" ht="11.25">
      <c r="A124" s="28" t="s">
        <v>203</v>
      </c>
      <c r="B124" s="9" t="s">
        <v>87</v>
      </c>
      <c r="C124" s="9" t="s">
        <v>27</v>
      </c>
      <c r="D124" s="20" t="s">
        <v>19</v>
      </c>
      <c r="E124" s="4"/>
      <c r="F124" s="17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17"/>
      <c r="AK124" s="4"/>
      <c r="AL124" s="4"/>
      <c r="AM124" s="4"/>
      <c r="AN124" s="4"/>
      <c r="AO124" s="4"/>
      <c r="AP124" s="4"/>
      <c r="AQ124" s="4">
        <v>2</v>
      </c>
      <c r="AR124" s="4"/>
      <c r="AS124" s="4"/>
      <c r="AT124" s="4"/>
      <c r="AU124" s="4"/>
      <c r="AV124" s="4"/>
      <c r="AW124" s="4"/>
      <c r="AX124" s="4"/>
      <c r="AY124" s="4"/>
      <c r="AZ124" s="4"/>
      <c r="BA124" s="57">
        <f t="shared" si="6"/>
        <v>2</v>
      </c>
      <c r="BB124" s="58" t="s">
        <v>19</v>
      </c>
      <c r="BC124" s="65"/>
      <c r="BD124" s="73"/>
      <c r="BE124" s="53"/>
    </row>
    <row r="125" spans="1:57" s="9" customFormat="1" ht="11.25" hidden="1">
      <c r="A125" s="28"/>
      <c r="B125" s="9" t="str">
        <f>"GOLYÓSTOLL BETÉT"</f>
        <v>GOLYÓSTOLL BETÉT</v>
      </c>
      <c r="C125" s="9" t="str">
        <f>"RÉZ"</f>
        <v>RÉZ</v>
      </c>
      <c r="D125" s="20" t="s">
        <v>19</v>
      </c>
      <c r="E125" s="4"/>
      <c r="F125" s="17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17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57">
        <f t="shared" si="6"/>
        <v>0</v>
      </c>
      <c r="BB125" s="58" t="s">
        <v>19</v>
      </c>
      <c r="BC125" s="65"/>
      <c r="BD125" s="73"/>
      <c r="BE125" s="53"/>
    </row>
    <row r="126" spans="1:57" s="8" customFormat="1" ht="11.25" hidden="1">
      <c r="A126" s="28"/>
      <c r="B126" s="9" t="str">
        <f>"GOLYÓSTOLL BETÉT"</f>
        <v>GOLYÓSTOLL BETÉT</v>
      </c>
      <c r="C126" s="9" t="str">
        <f>"X-20"</f>
        <v>X-20</v>
      </c>
      <c r="D126" s="20" t="s">
        <v>19</v>
      </c>
      <c r="E126" s="5"/>
      <c r="F126" s="1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17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7">
        <f t="shared" si="6"/>
        <v>0</v>
      </c>
      <c r="BB126" s="58" t="s">
        <v>19</v>
      </c>
      <c r="BC126" s="65"/>
      <c r="BD126" s="73"/>
      <c r="BE126" s="43"/>
    </row>
    <row r="127" spans="1:57" s="8" customFormat="1" ht="11.25">
      <c r="A127" s="28" t="s">
        <v>204</v>
      </c>
      <c r="B127" s="9" t="str">
        <f>"FÜZET (KOCKÁS)"</f>
        <v>FÜZET (KOCKÁS)</v>
      </c>
      <c r="C127" s="9" t="str">
        <f>"A/4"</f>
        <v>A/4</v>
      </c>
      <c r="D127" s="20" t="s">
        <v>19</v>
      </c>
      <c r="E127" s="5"/>
      <c r="F127" s="17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17"/>
      <c r="AK127" s="5"/>
      <c r="AL127" s="5"/>
      <c r="AM127" s="5"/>
      <c r="AN127" s="5"/>
      <c r="AO127" s="5">
        <v>5</v>
      </c>
      <c r="AP127" s="5"/>
      <c r="AQ127" s="5">
        <v>5</v>
      </c>
      <c r="AR127" s="5"/>
      <c r="AS127" s="5">
        <v>2</v>
      </c>
      <c r="AT127" s="5"/>
      <c r="AU127" s="5"/>
      <c r="AV127" s="5"/>
      <c r="AW127" s="5"/>
      <c r="AX127" s="5"/>
      <c r="AY127" s="5"/>
      <c r="AZ127" s="5"/>
      <c r="BA127" s="57">
        <f t="shared" si="6"/>
        <v>12</v>
      </c>
      <c r="BB127" s="58" t="s">
        <v>19</v>
      </c>
      <c r="BC127" s="65"/>
      <c r="BD127" s="73"/>
      <c r="BE127" s="53"/>
    </row>
    <row r="128" spans="1:57" s="9" customFormat="1" ht="11.25" hidden="1">
      <c r="A128" s="28"/>
      <c r="B128" s="9" t="str">
        <f>"GOLYÓSTOLL BETÉT (ZSELÉS)"</f>
        <v>GOLYÓSTOLL BETÉT (ZSELÉS)</v>
      </c>
      <c r="C128" s="9" t="str">
        <f>"PARKER"</f>
        <v>PARKER</v>
      </c>
      <c r="D128" s="20" t="s">
        <v>19</v>
      </c>
      <c r="E128" s="4"/>
      <c r="F128" s="17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17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57">
        <f t="shared" si="6"/>
        <v>0</v>
      </c>
      <c r="BB128" s="58" t="s">
        <v>19</v>
      </c>
      <c r="BC128" s="65"/>
      <c r="BD128" s="73"/>
      <c r="BE128" s="43"/>
    </row>
    <row r="129" spans="1:57" s="9" customFormat="1" ht="11.25" hidden="1">
      <c r="A129" s="28"/>
      <c r="B129" s="9" t="str">
        <f>"GYORS MASNI"</f>
        <v>GYORS MASNI</v>
      </c>
      <c r="D129" s="20" t="s">
        <v>19</v>
      </c>
      <c r="E129" s="4"/>
      <c r="F129" s="17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17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57">
        <f t="shared" si="6"/>
        <v>0</v>
      </c>
      <c r="BB129" s="58" t="s">
        <v>19</v>
      </c>
      <c r="BC129" s="65"/>
      <c r="BD129" s="73"/>
      <c r="BE129" s="43"/>
    </row>
    <row r="130" spans="1:57" s="9" customFormat="1" ht="11.25">
      <c r="A130" s="28" t="s">
        <v>205</v>
      </c>
      <c r="B130" s="9" t="s">
        <v>28</v>
      </c>
      <c r="C130" s="9" t="str">
        <f>"A/4"</f>
        <v>A/4</v>
      </c>
      <c r="D130" s="20" t="s">
        <v>19</v>
      </c>
      <c r="E130" s="5">
        <v>5</v>
      </c>
      <c r="F130" s="1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>
        <v>1</v>
      </c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17"/>
      <c r="AK130" s="5"/>
      <c r="AL130" s="5"/>
      <c r="AM130" s="5"/>
      <c r="AN130" s="5"/>
      <c r="AO130" s="5"/>
      <c r="AP130" s="5"/>
      <c r="AQ130" s="5"/>
      <c r="AR130" s="5"/>
      <c r="AS130" s="5">
        <v>2</v>
      </c>
      <c r="AT130" s="5"/>
      <c r="AU130" s="5"/>
      <c r="AV130" s="5"/>
      <c r="AW130" s="5"/>
      <c r="AX130" s="5"/>
      <c r="AY130" s="5"/>
      <c r="AZ130" s="5"/>
      <c r="BA130" s="57">
        <f t="shared" si="6"/>
        <v>8</v>
      </c>
      <c r="BB130" s="58" t="s">
        <v>19</v>
      </c>
      <c r="BC130" s="65"/>
      <c r="BD130" s="73"/>
      <c r="BE130" s="43"/>
    </row>
    <row r="131" spans="1:57" s="8" customFormat="1" ht="11.25">
      <c r="A131" s="28" t="s">
        <v>206</v>
      </c>
      <c r="B131" s="9" t="s">
        <v>95</v>
      </c>
      <c r="C131" s="9" t="s">
        <v>27</v>
      </c>
      <c r="D131" s="20" t="s">
        <v>19</v>
      </c>
      <c r="E131" s="4"/>
      <c r="F131" s="17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17"/>
      <c r="AK131" s="4"/>
      <c r="AL131" s="4"/>
      <c r="AM131" s="4"/>
      <c r="AN131" s="4"/>
      <c r="AO131" s="4">
        <v>5</v>
      </c>
      <c r="AP131" s="4"/>
      <c r="AQ131" s="4">
        <v>5</v>
      </c>
      <c r="AR131" s="4"/>
      <c r="AS131" s="4">
        <v>2</v>
      </c>
      <c r="AT131" s="4"/>
      <c r="AU131" s="4"/>
      <c r="AV131" s="4"/>
      <c r="AW131" s="4"/>
      <c r="AX131" s="4"/>
      <c r="AY131" s="4"/>
      <c r="AZ131" s="4"/>
      <c r="BA131" s="57">
        <f t="shared" si="6"/>
        <v>12</v>
      </c>
      <c r="BB131" s="58" t="s">
        <v>19</v>
      </c>
      <c r="BC131" s="65"/>
      <c r="BD131" s="73"/>
      <c r="BE131" s="53"/>
    </row>
    <row r="132" spans="1:57" s="9" customFormat="1" ht="11.25" hidden="1">
      <c r="A132" s="29"/>
      <c r="B132" s="9" t="str">
        <f>"GYURMA"</f>
        <v>GYURMA</v>
      </c>
      <c r="D132" s="20" t="s">
        <v>19</v>
      </c>
      <c r="E132" s="4"/>
      <c r="F132" s="17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17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57">
        <f t="shared" si="6"/>
        <v>0</v>
      </c>
      <c r="BB132" s="58" t="s">
        <v>19</v>
      </c>
      <c r="BC132" s="65"/>
      <c r="BD132" s="73"/>
      <c r="BE132" s="53"/>
    </row>
    <row r="133" spans="1:57" s="8" customFormat="1" ht="11.25" hidden="1">
      <c r="A133" s="29"/>
      <c r="B133" s="9" t="str">
        <f>"GYŰRŰSKÖNYV"</f>
        <v>GYŰRŰSKÖNYV</v>
      </c>
      <c r="C133" s="9" t="str">
        <f>"A/5"</f>
        <v>A/5</v>
      </c>
      <c r="D133" s="20" t="s">
        <v>19</v>
      </c>
      <c r="E133" s="5"/>
      <c r="F133" s="1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17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7">
        <f t="shared" si="6"/>
        <v>0</v>
      </c>
      <c r="BB133" s="58" t="s">
        <v>19</v>
      </c>
      <c r="BC133" s="65"/>
      <c r="BD133" s="73"/>
      <c r="BE133" s="43"/>
    </row>
    <row r="134" spans="1:57" s="9" customFormat="1" ht="11.25" hidden="1">
      <c r="A134" s="29"/>
      <c r="B134" s="9" t="str">
        <f>"HATÁRIDŐNAPLÓ A/5"</f>
        <v>HATÁRIDŐNAPLÓ A/5</v>
      </c>
      <c r="C134" s="9" t="str">
        <f>"3101"</f>
        <v>3101</v>
      </c>
      <c r="D134" s="20" t="s">
        <v>19</v>
      </c>
      <c r="E134" s="4"/>
      <c r="F134" s="17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17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57">
        <f t="shared" si="6"/>
        <v>0</v>
      </c>
      <c r="BB134" s="58" t="s">
        <v>19</v>
      </c>
      <c r="BC134" s="65"/>
      <c r="BD134" s="73"/>
      <c r="BE134" s="43"/>
    </row>
    <row r="135" spans="1:57" s="9" customFormat="1" ht="11.25" hidden="1">
      <c r="A135" s="29"/>
      <c r="B135" s="9" t="str">
        <f>"HATÁROZATOK KÖNYVE"</f>
        <v>HATÁROZATOK KÖNYVE</v>
      </c>
      <c r="D135" s="20" t="s">
        <v>19</v>
      </c>
      <c r="E135" s="4"/>
      <c r="F135" s="17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17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57">
        <f t="shared" si="6"/>
        <v>0</v>
      </c>
      <c r="BB135" s="58" t="s">
        <v>19</v>
      </c>
      <c r="BC135" s="65"/>
      <c r="BD135" s="73"/>
      <c r="BE135" s="43"/>
    </row>
    <row r="136" spans="1:57" s="9" customFormat="1" ht="11.25" hidden="1">
      <c r="A136" s="29"/>
      <c r="B136" s="9" t="str">
        <f>"HÁTLAP (BŐRHATÁSÚ)"</f>
        <v>HÁTLAP (BŐRHATÁSÚ)</v>
      </c>
      <c r="C136" s="9" t="s">
        <v>36</v>
      </c>
      <c r="D136" s="20" t="s">
        <v>19</v>
      </c>
      <c r="E136" s="4"/>
      <c r="F136" s="17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17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57">
        <f t="shared" si="6"/>
        <v>0</v>
      </c>
      <c r="BB136" s="58" t="s">
        <v>19</v>
      </c>
      <c r="BC136" s="65"/>
      <c r="BD136" s="73"/>
      <c r="BE136" s="43"/>
    </row>
    <row r="137" spans="1:57" s="9" customFormat="1" ht="11.25" hidden="1">
      <c r="A137" s="28"/>
      <c r="B137" s="9" t="str">
        <f>"HIBAJAVÍTÓ FESTÉK (ECSETES)"</f>
        <v>HIBAJAVÍTÓ FESTÉK (ECSETES)</v>
      </c>
      <c r="C137" s="9" t="str">
        <f>"KORES"</f>
        <v>KORES</v>
      </c>
      <c r="D137" s="20" t="s">
        <v>19</v>
      </c>
      <c r="E137" s="4"/>
      <c r="F137" s="17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17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57">
        <f t="shared" si="6"/>
        <v>0</v>
      </c>
      <c r="BB137" s="58" t="s">
        <v>19</v>
      </c>
      <c r="BC137" s="65"/>
      <c r="BD137" s="73"/>
      <c r="BE137" s="43"/>
    </row>
    <row r="138" spans="1:57" s="9" customFormat="1" ht="11.25" hidden="1">
      <c r="A138" s="28"/>
      <c r="B138" s="9" t="str">
        <f>"HIBAJAVÍTÓ FESTÉKHÍGÍTÓ"</f>
        <v>HIBAJAVÍTÓ FESTÉKHÍGÍTÓ</v>
      </c>
      <c r="D138" s="20" t="s">
        <v>19</v>
      </c>
      <c r="E138" s="4"/>
      <c r="F138" s="17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17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57">
        <f t="shared" si="6"/>
        <v>0</v>
      </c>
      <c r="BB138" s="58" t="s">
        <v>19</v>
      </c>
      <c r="BC138" s="65"/>
      <c r="BD138" s="73"/>
      <c r="BE138" s="43"/>
    </row>
    <row r="139" spans="1:57" s="8" customFormat="1" ht="11.25">
      <c r="A139" s="28" t="s">
        <v>207</v>
      </c>
      <c r="B139" s="9" t="str">
        <f>"GÉMKAPOCS (NAGY)"</f>
        <v>GÉMKAPOCS (NAGY)</v>
      </c>
      <c r="C139" s="9" t="str">
        <f>"55MM"</f>
        <v>55MM</v>
      </c>
      <c r="D139" s="20" t="s">
        <v>25</v>
      </c>
      <c r="E139" s="5">
        <v>1</v>
      </c>
      <c r="F139" s="17"/>
      <c r="G139" s="5"/>
      <c r="H139" s="5"/>
      <c r="I139" s="5"/>
      <c r="J139" s="5"/>
      <c r="K139" s="5"/>
      <c r="L139" s="5"/>
      <c r="M139" s="5"/>
      <c r="N139" s="5"/>
      <c r="O139" s="5">
        <v>20</v>
      </c>
      <c r="P139" s="5"/>
      <c r="Q139" s="5"/>
      <c r="R139" s="5"/>
      <c r="S139" s="5"/>
      <c r="T139" s="5"/>
      <c r="U139" s="5"/>
      <c r="V139" s="5"/>
      <c r="W139" s="5">
        <v>1</v>
      </c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17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7">
        <f t="shared" si="6"/>
        <v>22</v>
      </c>
      <c r="BB139" s="58" t="s">
        <v>25</v>
      </c>
      <c r="BC139" s="65"/>
      <c r="BD139" s="73"/>
      <c r="BE139" s="53"/>
    </row>
    <row r="140" spans="1:57" s="8" customFormat="1" ht="11.25">
      <c r="A140" s="28" t="s">
        <v>208</v>
      </c>
      <c r="B140" s="9" t="str">
        <f>"GÉMKAPOCS (NORMÁL)"</f>
        <v>GÉMKAPOCS (NORMÁL)</v>
      </c>
      <c r="C140" s="9" t="str">
        <f>"33MM"</f>
        <v>33MM</v>
      </c>
      <c r="D140" s="20" t="s">
        <v>25</v>
      </c>
      <c r="E140" s="5">
        <v>2</v>
      </c>
      <c r="F140" s="17">
        <v>5</v>
      </c>
      <c r="G140" s="5"/>
      <c r="H140" s="5"/>
      <c r="I140" s="5"/>
      <c r="J140" s="5"/>
      <c r="K140" s="5"/>
      <c r="L140" s="5"/>
      <c r="M140" s="5"/>
      <c r="N140" s="5"/>
      <c r="O140" s="5">
        <v>2</v>
      </c>
      <c r="P140" s="5">
        <v>4</v>
      </c>
      <c r="Q140" s="5"/>
      <c r="R140" s="5"/>
      <c r="S140" s="5">
        <v>1</v>
      </c>
      <c r="T140" s="5"/>
      <c r="U140" s="5">
        <v>5</v>
      </c>
      <c r="V140" s="5"/>
      <c r="W140" s="5">
        <v>1</v>
      </c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17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>
        <v>10</v>
      </c>
      <c r="BA140" s="57">
        <f t="shared" si="6"/>
        <v>30</v>
      </c>
      <c r="BB140" s="58" t="s">
        <v>25</v>
      </c>
      <c r="BC140" s="65"/>
      <c r="BD140" s="73"/>
      <c r="BE140" s="53"/>
    </row>
    <row r="141" spans="1:57" s="9" customFormat="1" ht="11.25" hidden="1">
      <c r="A141" s="28"/>
      <c r="B141" s="9" t="str">
        <f>"HIBAJAVÍTÓ TOLL (STRANGER)"</f>
        <v>HIBAJAVÍTÓ TOLL (STRANGER)</v>
      </c>
      <c r="D141" s="17"/>
      <c r="E141" s="4"/>
      <c r="F141" s="17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17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57">
        <f t="shared" si="6"/>
        <v>0</v>
      </c>
      <c r="BB141" s="56"/>
      <c r="BC141" s="65"/>
      <c r="BD141" s="73"/>
      <c r="BE141" s="43"/>
    </row>
    <row r="142" spans="1:57" s="9" customFormat="1" ht="11.25" hidden="1">
      <c r="A142" s="28"/>
      <c r="B142" s="9" t="str">
        <f>"HULLADÉK ELHELYEZÉSI JEGY"</f>
        <v>HULLADÉK ELHELYEZÉSI JEGY</v>
      </c>
      <c r="C142" s="9" t="str">
        <f>"(TISZASZOLG)"</f>
        <v>(TISZASZOLG)</v>
      </c>
      <c r="D142" s="17"/>
      <c r="E142" s="4"/>
      <c r="F142" s="17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17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57">
        <f t="shared" si="6"/>
        <v>0</v>
      </c>
      <c r="BB142" s="56"/>
      <c r="BC142" s="65"/>
      <c r="BD142" s="73"/>
      <c r="BE142" s="43"/>
    </row>
    <row r="143" spans="1:57" s="9" customFormat="1" ht="11.25" hidden="1">
      <c r="A143" s="28"/>
      <c r="B143" s="9" t="str">
        <f>"IKTATÓKÖNYV (SOROS)"</f>
        <v>IKTATÓKÖNYV (SOROS)</v>
      </c>
      <c r="C143" s="9" t="str">
        <f>"C 5230-152"</f>
        <v>C 5230-152</v>
      </c>
      <c r="D143" s="17"/>
      <c r="E143" s="4"/>
      <c r="F143" s="17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17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57">
        <f t="shared" si="6"/>
        <v>0</v>
      </c>
      <c r="BB143" s="56"/>
      <c r="BC143" s="65"/>
      <c r="BD143" s="73"/>
      <c r="BE143" s="43"/>
    </row>
    <row r="144" spans="1:57" s="9" customFormat="1" ht="11.25">
      <c r="A144" s="28" t="s">
        <v>209</v>
      </c>
      <c r="B144" s="9" t="s">
        <v>124</v>
      </c>
      <c r="C144" s="9" t="s">
        <v>125</v>
      </c>
      <c r="D144" s="20" t="s">
        <v>19</v>
      </c>
      <c r="E144" s="4"/>
      <c r="F144" s="17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>
        <v>1</v>
      </c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17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57">
        <f t="shared" si="6"/>
        <v>1</v>
      </c>
      <c r="BB144" s="58" t="s">
        <v>19</v>
      </c>
      <c r="BC144" s="65"/>
      <c r="BD144" s="73"/>
      <c r="BE144" s="43"/>
    </row>
    <row r="145" spans="1:57" s="14" customFormat="1" ht="11.25">
      <c r="A145" s="28" t="s">
        <v>210</v>
      </c>
      <c r="B145" s="9" t="s">
        <v>71</v>
      </c>
      <c r="C145" s="9" t="s">
        <v>78</v>
      </c>
      <c r="D145" s="20" t="s">
        <v>19</v>
      </c>
      <c r="E145" s="21"/>
      <c r="F145" s="22"/>
      <c r="G145" s="21"/>
      <c r="H145" s="4"/>
      <c r="I145" s="21"/>
      <c r="J145" s="21"/>
      <c r="K145" s="21"/>
      <c r="L145" s="21"/>
      <c r="M145" s="21"/>
      <c r="N145" s="21"/>
      <c r="O145" s="4"/>
      <c r="P145" s="4"/>
      <c r="Q145" s="21"/>
      <c r="R145" s="21"/>
      <c r="S145" s="4">
        <v>20</v>
      </c>
      <c r="T145" s="21"/>
      <c r="U145" s="4">
        <v>15</v>
      </c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  <c r="AK145" s="21"/>
      <c r="AL145" s="21"/>
      <c r="AM145" s="21"/>
      <c r="AN145" s="21"/>
      <c r="AO145" s="4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57">
        <f t="shared" si="6"/>
        <v>35</v>
      </c>
      <c r="BB145" s="58" t="s">
        <v>19</v>
      </c>
      <c r="BC145" s="65"/>
      <c r="BD145" s="73"/>
      <c r="BE145" s="70"/>
    </row>
    <row r="146" spans="1:57" s="8" customFormat="1" ht="11.25">
      <c r="A146" s="28" t="s">
        <v>211</v>
      </c>
      <c r="B146" s="9" t="s">
        <v>71</v>
      </c>
      <c r="C146" s="9" t="s">
        <v>90</v>
      </c>
      <c r="D146" s="20" t="s">
        <v>19</v>
      </c>
      <c r="E146" s="17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17"/>
      <c r="AK146" s="5"/>
      <c r="AL146" s="5"/>
      <c r="AM146" s="5"/>
      <c r="AN146" s="5"/>
      <c r="AO146" s="5"/>
      <c r="AP146" s="5"/>
      <c r="AQ146" s="5"/>
      <c r="AR146" s="5"/>
      <c r="AS146" s="5"/>
      <c r="AT146" s="5">
        <v>100</v>
      </c>
      <c r="AU146" s="5"/>
      <c r="AV146" s="5"/>
      <c r="AW146" s="5"/>
      <c r="AX146" s="5"/>
      <c r="AY146" s="5"/>
      <c r="AZ146" s="5"/>
      <c r="BA146" s="57">
        <f t="shared" si="6"/>
        <v>100</v>
      </c>
      <c r="BB146" s="58" t="s">
        <v>19</v>
      </c>
      <c r="BC146" s="65"/>
      <c r="BD146" s="73"/>
      <c r="BE146" s="43"/>
    </row>
    <row r="147" spans="1:57" s="8" customFormat="1" ht="11.25">
      <c r="A147" s="28" t="s">
        <v>212</v>
      </c>
      <c r="B147" s="9" t="s">
        <v>77</v>
      </c>
      <c r="C147" s="9" t="str">
        <f>"A/4"</f>
        <v>A/4</v>
      </c>
      <c r="D147" s="20" t="s">
        <v>19</v>
      </c>
      <c r="E147" s="5">
        <v>100</v>
      </c>
      <c r="F147" s="17"/>
      <c r="G147" s="5"/>
      <c r="H147" s="5">
        <v>300</v>
      </c>
      <c r="I147" s="5">
        <v>50</v>
      </c>
      <c r="J147" s="5">
        <v>50</v>
      </c>
      <c r="K147" s="5"/>
      <c r="L147" s="5">
        <v>600</v>
      </c>
      <c r="M147" s="5"/>
      <c r="N147" s="5"/>
      <c r="O147" s="5">
        <v>500</v>
      </c>
      <c r="P147" s="5">
        <v>200</v>
      </c>
      <c r="Q147" s="5"/>
      <c r="R147" s="5">
        <v>100</v>
      </c>
      <c r="S147" s="5"/>
      <c r="T147" s="5"/>
      <c r="U147" s="5">
        <v>200</v>
      </c>
      <c r="V147" s="5"/>
      <c r="W147" s="5">
        <v>100</v>
      </c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17"/>
      <c r="AK147" s="5"/>
      <c r="AL147" s="5"/>
      <c r="AM147" s="5"/>
      <c r="AN147" s="5">
        <v>100</v>
      </c>
      <c r="AO147" s="5">
        <v>300</v>
      </c>
      <c r="AP147" s="5">
        <v>100</v>
      </c>
      <c r="AQ147" s="5">
        <v>300</v>
      </c>
      <c r="AR147" s="5">
        <v>100</v>
      </c>
      <c r="AS147" s="5">
        <v>100</v>
      </c>
      <c r="AT147" s="5"/>
      <c r="AU147" s="5"/>
      <c r="AV147" s="5"/>
      <c r="AW147" s="5"/>
      <c r="AX147" s="5"/>
      <c r="AY147" s="5"/>
      <c r="AZ147" s="5"/>
      <c r="BA147" s="57">
        <f t="shared" si="6"/>
        <v>3200</v>
      </c>
      <c r="BB147" s="58" t="s">
        <v>19</v>
      </c>
      <c r="BC147" s="65"/>
      <c r="BD147" s="73"/>
      <c r="BE147" s="53"/>
    </row>
    <row r="148" spans="1:57" s="9" customFormat="1" ht="11.25">
      <c r="A148" s="28" t="s">
        <v>213</v>
      </c>
      <c r="B148" s="9" t="s">
        <v>70</v>
      </c>
      <c r="C148" s="9" t="s">
        <v>69</v>
      </c>
      <c r="D148" s="20" t="s">
        <v>19</v>
      </c>
      <c r="E148" s="5"/>
      <c r="F148" s="8"/>
      <c r="G148" s="5"/>
      <c r="H148" s="5">
        <v>10</v>
      </c>
      <c r="I148" s="5"/>
      <c r="J148" s="5"/>
      <c r="K148" s="5"/>
      <c r="L148" s="5"/>
      <c r="M148" s="5"/>
      <c r="N148" s="5"/>
      <c r="O148" s="5">
        <v>25</v>
      </c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7">
        <f aca="true" t="shared" si="8" ref="BA148:BA179">SUM(E148:AZ148)</f>
        <v>35</v>
      </c>
      <c r="BB148" s="58" t="s">
        <v>19</v>
      </c>
      <c r="BC148" s="65"/>
      <c r="BD148" s="73"/>
      <c r="BE148" s="53"/>
    </row>
    <row r="149" spans="1:57" s="9" customFormat="1" ht="11.25">
      <c r="A149" s="28" t="s">
        <v>214</v>
      </c>
      <c r="B149" s="9" t="s">
        <v>51</v>
      </c>
      <c r="C149" s="9" t="s">
        <v>118</v>
      </c>
      <c r="D149" s="20" t="s">
        <v>19</v>
      </c>
      <c r="E149" s="4"/>
      <c r="F149" s="17">
        <v>2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17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57">
        <f t="shared" si="8"/>
        <v>2</v>
      </c>
      <c r="BB149" s="58" t="s">
        <v>19</v>
      </c>
      <c r="BC149" s="65"/>
      <c r="BD149" s="73"/>
      <c r="BE149" s="53"/>
    </row>
    <row r="150" spans="1:57" s="9" customFormat="1" ht="11.25">
      <c r="A150" s="28" t="s">
        <v>215</v>
      </c>
      <c r="B150" s="9" t="s">
        <v>96</v>
      </c>
      <c r="C150" s="9" t="s">
        <v>97</v>
      </c>
      <c r="D150" s="20" t="s">
        <v>19</v>
      </c>
      <c r="E150" s="4"/>
      <c r="F150" s="17"/>
      <c r="G150" s="4"/>
      <c r="H150" s="4">
        <v>2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17"/>
      <c r="AK150" s="4"/>
      <c r="AL150" s="4"/>
      <c r="AM150" s="4"/>
      <c r="AN150" s="4"/>
      <c r="AO150" s="4"/>
      <c r="AP150" s="4"/>
      <c r="AQ150" s="4"/>
      <c r="AR150" s="4">
        <v>1</v>
      </c>
      <c r="AS150" s="4">
        <v>1</v>
      </c>
      <c r="AT150" s="4"/>
      <c r="AU150" s="4"/>
      <c r="AV150" s="4"/>
      <c r="AW150" s="4"/>
      <c r="AX150" s="4"/>
      <c r="AY150" s="4"/>
      <c r="AZ150" s="4"/>
      <c r="BA150" s="57">
        <f t="shared" si="8"/>
        <v>4</v>
      </c>
      <c r="BB150" s="58" t="s">
        <v>19</v>
      </c>
      <c r="BC150" s="65"/>
      <c r="BD150" s="73"/>
      <c r="BE150" s="53"/>
    </row>
    <row r="151" spans="1:57" s="9" customFormat="1" ht="11.25">
      <c r="A151" s="28" t="s">
        <v>216</v>
      </c>
      <c r="B151" s="9" t="str">
        <f>"GOLYÓSTOLL (PENAC RB-085 B.)"</f>
        <v>GOLYÓSTOLL (PENAC RB-085 B.)</v>
      </c>
      <c r="C151" s="9" t="s">
        <v>30</v>
      </c>
      <c r="D151" s="20" t="s">
        <v>19</v>
      </c>
      <c r="E151" s="4"/>
      <c r="F151" s="17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>
        <v>5</v>
      </c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17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57">
        <f t="shared" si="8"/>
        <v>5</v>
      </c>
      <c r="BB151" s="58" t="s">
        <v>19</v>
      </c>
      <c r="BC151" s="65"/>
      <c r="BD151" s="73"/>
      <c r="BE151" s="43"/>
    </row>
    <row r="152" spans="1:57" s="9" customFormat="1" ht="11.25">
      <c r="A152" s="28" t="s">
        <v>217</v>
      </c>
      <c r="B152" s="9" t="s">
        <v>55</v>
      </c>
      <c r="C152" s="9" t="s">
        <v>109</v>
      </c>
      <c r="D152" s="20" t="s">
        <v>19</v>
      </c>
      <c r="E152" s="4"/>
      <c r="F152" s="17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17"/>
      <c r="AK152" s="4"/>
      <c r="AL152" s="4"/>
      <c r="AM152" s="4"/>
      <c r="AN152" s="4">
        <v>1</v>
      </c>
      <c r="AO152" s="4">
        <v>1</v>
      </c>
      <c r="AP152" s="4">
        <v>1</v>
      </c>
      <c r="AQ152" s="4">
        <v>1</v>
      </c>
      <c r="AR152" s="4">
        <v>2</v>
      </c>
      <c r="AS152" s="4">
        <v>2</v>
      </c>
      <c r="AT152" s="4"/>
      <c r="AU152" s="4"/>
      <c r="AV152" s="4"/>
      <c r="AW152" s="4"/>
      <c r="AX152" s="4"/>
      <c r="AY152" s="4"/>
      <c r="AZ152" s="4"/>
      <c r="BA152" s="57">
        <f t="shared" si="8"/>
        <v>8</v>
      </c>
      <c r="BB152" s="58" t="s">
        <v>19</v>
      </c>
      <c r="BC152" s="65"/>
      <c r="BD152" s="73"/>
      <c r="BE152" s="43"/>
    </row>
    <row r="153" spans="1:57" s="9" customFormat="1" ht="11.25">
      <c r="A153" s="28" t="s">
        <v>218</v>
      </c>
      <c r="B153" s="9" t="s">
        <v>55</v>
      </c>
      <c r="C153" s="9" t="s">
        <v>49</v>
      </c>
      <c r="D153" s="20" t="s">
        <v>19</v>
      </c>
      <c r="E153" s="4"/>
      <c r="F153" s="17">
        <v>2</v>
      </c>
      <c r="G153" s="4"/>
      <c r="H153" s="4"/>
      <c r="I153" s="4">
        <v>15</v>
      </c>
      <c r="J153" s="4">
        <v>10</v>
      </c>
      <c r="K153" s="4"/>
      <c r="L153" s="4">
        <v>30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17"/>
      <c r="AK153" s="4"/>
      <c r="AL153" s="4"/>
      <c r="AM153" s="4"/>
      <c r="AN153" s="4">
        <v>5</v>
      </c>
      <c r="AO153" s="4">
        <v>5</v>
      </c>
      <c r="AP153" s="4">
        <v>5</v>
      </c>
      <c r="AQ153" s="4">
        <v>5</v>
      </c>
      <c r="AR153" s="4"/>
      <c r="AS153" s="4"/>
      <c r="AT153" s="4"/>
      <c r="AU153" s="4"/>
      <c r="AV153" s="4"/>
      <c r="AW153" s="4"/>
      <c r="AX153" s="4"/>
      <c r="AY153" s="4"/>
      <c r="AZ153" s="4"/>
      <c r="BA153" s="57">
        <f t="shared" si="8"/>
        <v>77</v>
      </c>
      <c r="BB153" s="58" t="s">
        <v>19</v>
      </c>
      <c r="BC153" s="65"/>
      <c r="BD153" s="73"/>
      <c r="BE153" s="43"/>
    </row>
    <row r="154" spans="1:57" s="9" customFormat="1" ht="11.25">
      <c r="A154" s="28" t="s">
        <v>219</v>
      </c>
      <c r="B154" s="9" t="s">
        <v>55</v>
      </c>
      <c r="C154" s="9" t="s">
        <v>50</v>
      </c>
      <c r="D154" s="20" t="s">
        <v>19</v>
      </c>
      <c r="E154" s="4"/>
      <c r="F154" s="17"/>
      <c r="G154" s="4"/>
      <c r="H154" s="4"/>
      <c r="I154" s="4">
        <v>3</v>
      </c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17"/>
      <c r="AK154" s="4"/>
      <c r="AL154" s="4"/>
      <c r="AM154" s="4"/>
      <c r="AN154" s="4">
        <v>1</v>
      </c>
      <c r="AO154" s="4">
        <v>1</v>
      </c>
      <c r="AP154" s="4">
        <v>1</v>
      </c>
      <c r="AQ154" s="4">
        <v>1</v>
      </c>
      <c r="AR154" s="4"/>
      <c r="AS154" s="4"/>
      <c r="AT154" s="4"/>
      <c r="AU154" s="4"/>
      <c r="AV154" s="4"/>
      <c r="AW154" s="4"/>
      <c r="AX154" s="4"/>
      <c r="AY154" s="4"/>
      <c r="AZ154" s="4"/>
      <c r="BA154" s="57">
        <f t="shared" si="8"/>
        <v>7</v>
      </c>
      <c r="BB154" s="58" t="s">
        <v>19</v>
      </c>
      <c r="BC154" s="65"/>
      <c r="BD154" s="73"/>
      <c r="BE154" s="43"/>
    </row>
    <row r="155" spans="1:57" s="9" customFormat="1" ht="11.25">
      <c r="A155" s="28" t="s">
        <v>220</v>
      </c>
      <c r="B155" s="9" t="s">
        <v>55</v>
      </c>
      <c r="C155" s="9" t="s">
        <v>80</v>
      </c>
      <c r="D155" s="20" t="s">
        <v>19</v>
      </c>
      <c r="E155" s="4"/>
      <c r="F155" s="17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17"/>
      <c r="AK155" s="4"/>
      <c r="AL155" s="4"/>
      <c r="AM155" s="4"/>
      <c r="AN155" s="4">
        <v>1</v>
      </c>
      <c r="AO155" s="4">
        <v>1</v>
      </c>
      <c r="AP155" s="4">
        <v>1</v>
      </c>
      <c r="AQ155" s="4">
        <v>1</v>
      </c>
      <c r="AR155" s="4"/>
      <c r="AS155" s="4"/>
      <c r="AT155" s="4"/>
      <c r="AU155" s="4"/>
      <c r="AV155" s="4"/>
      <c r="AW155" s="4"/>
      <c r="AX155" s="4"/>
      <c r="AY155" s="4"/>
      <c r="AZ155" s="4"/>
      <c r="BA155" s="57">
        <f t="shared" si="8"/>
        <v>4</v>
      </c>
      <c r="BB155" s="58" t="s">
        <v>19</v>
      </c>
      <c r="BC155" s="65"/>
      <c r="BD155" s="73"/>
      <c r="BE155" s="43"/>
    </row>
    <row r="156" spans="1:57" s="9" customFormat="1" ht="11.25">
      <c r="A156" s="28" t="s">
        <v>221</v>
      </c>
      <c r="B156" s="9" t="s">
        <v>73</v>
      </c>
      <c r="C156" s="9" t="s">
        <v>49</v>
      </c>
      <c r="D156" s="20" t="s">
        <v>19</v>
      </c>
      <c r="E156" s="4">
        <v>30</v>
      </c>
      <c r="F156" s="17"/>
      <c r="G156" s="4"/>
      <c r="H156" s="4"/>
      <c r="I156" s="4">
        <v>3</v>
      </c>
      <c r="J156" s="4"/>
      <c r="K156" s="4"/>
      <c r="L156" s="4"/>
      <c r="M156" s="4"/>
      <c r="N156" s="4"/>
      <c r="O156" s="4"/>
      <c r="P156" s="4">
        <v>1</v>
      </c>
      <c r="Q156" s="4"/>
      <c r="R156" s="4"/>
      <c r="S156" s="4"/>
      <c r="T156" s="4"/>
      <c r="U156" s="4">
        <v>2</v>
      </c>
      <c r="V156" s="4"/>
      <c r="W156" s="4">
        <v>2</v>
      </c>
      <c r="X156" s="4"/>
      <c r="Y156" s="4">
        <v>1</v>
      </c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17"/>
      <c r="AK156" s="4"/>
      <c r="AL156" s="4"/>
      <c r="AM156" s="4"/>
      <c r="AN156" s="4">
        <v>1</v>
      </c>
      <c r="AO156" s="4">
        <v>1</v>
      </c>
      <c r="AP156" s="4">
        <v>1</v>
      </c>
      <c r="AQ156" s="4">
        <v>3</v>
      </c>
      <c r="AR156" s="4">
        <v>2</v>
      </c>
      <c r="AS156" s="4">
        <v>2</v>
      </c>
      <c r="AT156" s="4"/>
      <c r="AU156" s="4">
        <v>1</v>
      </c>
      <c r="AV156" s="4">
        <v>1</v>
      </c>
      <c r="AW156" s="4">
        <v>1</v>
      </c>
      <c r="AX156" s="4">
        <v>1</v>
      </c>
      <c r="AY156" s="4"/>
      <c r="AZ156" s="4"/>
      <c r="BA156" s="57">
        <f t="shared" si="8"/>
        <v>53</v>
      </c>
      <c r="BB156" s="58" t="s">
        <v>19</v>
      </c>
      <c r="BC156" s="65"/>
      <c r="BD156" s="73"/>
      <c r="BE156" s="43"/>
    </row>
    <row r="157" spans="1:57" s="9" customFormat="1" ht="11.25">
      <c r="A157" s="28" t="s">
        <v>222</v>
      </c>
      <c r="B157" s="9" t="s">
        <v>73</v>
      </c>
      <c r="C157" s="9" t="s">
        <v>50</v>
      </c>
      <c r="D157" s="20" t="s">
        <v>19</v>
      </c>
      <c r="E157" s="4"/>
      <c r="F157" s="17"/>
      <c r="G157" s="4"/>
      <c r="H157" s="4"/>
      <c r="I157" s="4"/>
      <c r="J157" s="4"/>
      <c r="K157" s="4"/>
      <c r="L157" s="4">
        <v>10</v>
      </c>
      <c r="M157" s="4"/>
      <c r="N157" s="4"/>
      <c r="O157" s="4"/>
      <c r="P157" s="4"/>
      <c r="Q157" s="4"/>
      <c r="R157" s="4"/>
      <c r="S157" s="4"/>
      <c r="T157" s="4"/>
      <c r="U157" s="4">
        <v>2</v>
      </c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17"/>
      <c r="AK157" s="4"/>
      <c r="AL157" s="4"/>
      <c r="AM157" s="4"/>
      <c r="AN157" s="4">
        <v>1</v>
      </c>
      <c r="AO157" s="4">
        <v>1</v>
      </c>
      <c r="AP157" s="4">
        <v>1</v>
      </c>
      <c r="AQ157" s="4">
        <v>3</v>
      </c>
      <c r="AR157" s="4"/>
      <c r="AS157" s="4"/>
      <c r="AT157" s="4"/>
      <c r="AU157" s="4"/>
      <c r="AV157" s="4"/>
      <c r="AW157" s="4"/>
      <c r="AX157" s="4"/>
      <c r="AY157" s="4"/>
      <c r="AZ157" s="4"/>
      <c r="BA157" s="57">
        <f t="shared" si="8"/>
        <v>18</v>
      </c>
      <c r="BB157" s="58" t="s">
        <v>19</v>
      </c>
      <c r="BC157" s="65"/>
      <c r="BD157" s="73"/>
      <c r="BE157" s="43"/>
    </row>
    <row r="158" spans="1:57" s="9" customFormat="1" ht="11.25">
      <c r="A158" s="28" t="s">
        <v>223</v>
      </c>
      <c r="B158" s="9" t="str">
        <f>"GOLYÓSTOLL (ZEBRA F-301)"</f>
        <v>GOLYÓSTOLL (ZEBRA F-301)</v>
      </c>
      <c r="C158" s="9" t="s">
        <v>49</v>
      </c>
      <c r="D158" s="20" t="s">
        <v>19</v>
      </c>
      <c r="E158" s="4">
        <v>4</v>
      </c>
      <c r="F158" s="17">
        <v>2</v>
      </c>
      <c r="G158" s="4"/>
      <c r="H158" s="4"/>
      <c r="I158" s="4"/>
      <c r="J158" s="4"/>
      <c r="K158" s="4"/>
      <c r="L158" s="4"/>
      <c r="M158" s="4"/>
      <c r="N158" s="4"/>
      <c r="O158" s="4"/>
      <c r="P158" s="4">
        <v>2</v>
      </c>
      <c r="Q158" s="4"/>
      <c r="R158" s="4"/>
      <c r="S158" s="4"/>
      <c r="T158" s="4"/>
      <c r="U158" s="4">
        <v>2</v>
      </c>
      <c r="V158" s="4"/>
      <c r="W158" s="4"/>
      <c r="X158" s="4"/>
      <c r="Y158" s="4">
        <v>1</v>
      </c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17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>
        <v>2</v>
      </c>
      <c r="AZ158" s="4">
        <v>2</v>
      </c>
      <c r="BA158" s="57">
        <f t="shared" si="8"/>
        <v>15</v>
      </c>
      <c r="BB158" s="58" t="s">
        <v>19</v>
      </c>
      <c r="BC158" s="65"/>
      <c r="BD158" s="73"/>
      <c r="BE158" s="43"/>
    </row>
    <row r="159" spans="1:57" s="9" customFormat="1" ht="11.25">
      <c r="A159" s="28" t="s">
        <v>224</v>
      </c>
      <c r="B159" s="9" t="s">
        <v>86</v>
      </c>
      <c r="C159" s="9" t="s">
        <v>49</v>
      </c>
      <c r="D159" s="20" t="s">
        <v>19</v>
      </c>
      <c r="E159" s="4">
        <v>4</v>
      </c>
      <c r="F159" s="17"/>
      <c r="G159" s="4"/>
      <c r="H159" s="4"/>
      <c r="I159" s="4"/>
      <c r="J159" s="4"/>
      <c r="K159" s="4"/>
      <c r="L159" s="4">
        <v>10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>
        <v>1</v>
      </c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17"/>
      <c r="AK159" s="4"/>
      <c r="AL159" s="4"/>
      <c r="AM159" s="4"/>
      <c r="AN159" s="4">
        <v>5</v>
      </c>
      <c r="AO159" s="4">
        <v>5</v>
      </c>
      <c r="AP159" s="4">
        <v>5</v>
      </c>
      <c r="AQ159" s="4">
        <v>5</v>
      </c>
      <c r="AR159" s="4"/>
      <c r="AS159" s="4"/>
      <c r="AT159" s="4"/>
      <c r="AU159" s="4"/>
      <c r="AV159" s="4"/>
      <c r="AW159" s="4"/>
      <c r="AX159" s="4"/>
      <c r="AY159" s="4"/>
      <c r="AZ159" s="4"/>
      <c r="BA159" s="57">
        <f t="shared" si="8"/>
        <v>35</v>
      </c>
      <c r="BB159" s="58" t="s">
        <v>19</v>
      </c>
      <c r="BC159" s="65"/>
      <c r="BD159" s="73"/>
      <c r="BE159" s="43"/>
    </row>
    <row r="160" spans="1:57" s="9" customFormat="1" ht="11.25">
      <c r="A160" s="28" t="s">
        <v>225</v>
      </c>
      <c r="B160" s="9" t="s">
        <v>141</v>
      </c>
      <c r="C160" s="9" t="s">
        <v>170</v>
      </c>
      <c r="D160" s="20" t="s">
        <v>19</v>
      </c>
      <c r="E160" s="4">
        <v>3</v>
      </c>
      <c r="F160" s="17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17"/>
      <c r="AK160" s="4"/>
      <c r="AL160" s="4"/>
      <c r="AM160" s="4"/>
      <c r="AN160" s="4"/>
      <c r="AO160" s="4"/>
      <c r="AP160" s="4"/>
      <c r="AQ160" s="4"/>
      <c r="AR160" s="4">
        <v>1</v>
      </c>
      <c r="AS160" s="4">
        <v>1</v>
      </c>
      <c r="AT160" s="4"/>
      <c r="AU160" s="4"/>
      <c r="AV160" s="4"/>
      <c r="AW160" s="4"/>
      <c r="AX160" s="4"/>
      <c r="AY160" s="4"/>
      <c r="AZ160" s="4"/>
      <c r="BA160" s="57">
        <f t="shared" si="8"/>
        <v>5</v>
      </c>
      <c r="BB160" s="58" t="s">
        <v>19</v>
      </c>
      <c r="BC160" s="65"/>
      <c r="BD160" s="73"/>
      <c r="BE160" s="43"/>
    </row>
    <row r="161" spans="1:57" s="9" customFormat="1" ht="11.25">
      <c r="A161" s="28" t="s">
        <v>226</v>
      </c>
      <c r="B161" s="9" t="s">
        <v>122</v>
      </c>
      <c r="C161" s="9" t="s">
        <v>126</v>
      </c>
      <c r="D161" s="20" t="s">
        <v>19</v>
      </c>
      <c r="E161" s="4"/>
      <c r="F161" s="17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17"/>
      <c r="AK161" s="4"/>
      <c r="AL161" s="4"/>
      <c r="AM161" s="4"/>
      <c r="AN161" s="4">
        <v>1</v>
      </c>
      <c r="AO161" s="4">
        <v>1</v>
      </c>
      <c r="AP161" s="4">
        <v>1</v>
      </c>
      <c r="AQ161" s="4">
        <v>1</v>
      </c>
      <c r="AR161" s="4"/>
      <c r="AS161" s="4"/>
      <c r="AT161" s="4"/>
      <c r="AU161" s="4"/>
      <c r="AV161" s="4"/>
      <c r="AW161" s="4"/>
      <c r="AX161" s="4"/>
      <c r="AY161" s="4"/>
      <c r="AZ161" s="4"/>
      <c r="BA161" s="57">
        <f t="shared" si="8"/>
        <v>4</v>
      </c>
      <c r="BB161" s="58" t="s">
        <v>19</v>
      </c>
      <c r="BC161" s="65"/>
      <c r="BD161" s="73"/>
      <c r="BE161" s="43"/>
    </row>
    <row r="162" spans="1:57" s="9" customFormat="1" ht="11.25">
      <c r="A162" s="28" t="s">
        <v>227</v>
      </c>
      <c r="B162" s="9" t="s">
        <v>114</v>
      </c>
      <c r="C162" s="9" t="s">
        <v>158</v>
      </c>
      <c r="D162" s="20" t="s">
        <v>19</v>
      </c>
      <c r="E162" s="4">
        <v>5</v>
      </c>
      <c r="F162" s="17">
        <v>2</v>
      </c>
      <c r="G162" s="4"/>
      <c r="H162" s="4"/>
      <c r="I162" s="4">
        <v>2</v>
      </c>
      <c r="J162" s="4"/>
      <c r="K162" s="4"/>
      <c r="L162" s="4"/>
      <c r="M162" s="4"/>
      <c r="N162" s="4"/>
      <c r="O162" s="4"/>
      <c r="P162" s="4"/>
      <c r="Q162" s="4"/>
      <c r="R162" s="4">
        <v>2</v>
      </c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17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>
        <v>10</v>
      </c>
      <c r="BA162" s="57">
        <f t="shared" si="8"/>
        <v>21</v>
      </c>
      <c r="BB162" s="58" t="s">
        <v>19</v>
      </c>
      <c r="BC162" s="65"/>
      <c r="BD162" s="73"/>
      <c r="BE162" s="43"/>
    </row>
    <row r="163" spans="1:57" s="8" customFormat="1" ht="11.25" hidden="1">
      <c r="A163" s="28"/>
      <c r="B163" s="9" t="s">
        <v>33</v>
      </c>
      <c r="C163" s="9" t="str">
        <f>"A/4"</f>
        <v>A/4</v>
      </c>
      <c r="D163" s="20" t="s">
        <v>19</v>
      </c>
      <c r="E163" s="5"/>
      <c r="F163" s="1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17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7">
        <f t="shared" si="8"/>
        <v>0</v>
      </c>
      <c r="BB163" s="58" t="s">
        <v>19</v>
      </c>
      <c r="BC163" s="65"/>
      <c r="BD163" s="73"/>
      <c r="BE163" s="53"/>
    </row>
    <row r="164" spans="1:57" s="9" customFormat="1" ht="11.25">
      <c r="A164" s="28" t="s">
        <v>228</v>
      </c>
      <c r="B164" s="9" t="s">
        <v>92</v>
      </c>
      <c r="C164" s="9" t="s">
        <v>93</v>
      </c>
      <c r="D164" s="20" t="s">
        <v>19</v>
      </c>
      <c r="E164" s="4"/>
      <c r="F164" s="17"/>
      <c r="G164" s="4"/>
      <c r="H164" s="4"/>
      <c r="I164" s="4"/>
      <c r="J164" s="4"/>
      <c r="K164" s="4"/>
      <c r="L164" s="4">
        <v>2</v>
      </c>
      <c r="M164" s="4"/>
      <c r="N164" s="4"/>
      <c r="O164" s="4">
        <v>2</v>
      </c>
      <c r="P164" s="4"/>
      <c r="Q164" s="4"/>
      <c r="R164" s="4"/>
      <c r="S164" s="4"/>
      <c r="T164" s="4"/>
      <c r="U164" s="4"/>
      <c r="V164" s="4"/>
      <c r="W164" s="4">
        <v>1</v>
      </c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17"/>
      <c r="AK164" s="4"/>
      <c r="AL164" s="4"/>
      <c r="AM164" s="4"/>
      <c r="AN164" s="4"/>
      <c r="AO164" s="4"/>
      <c r="AP164" s="4"/>
      <c r="AQ164" s="4">
        <v>1</v>
      </c>
      <c r="AR164" s="4"/>
      <c r="AS164" s="4"/>
      <c r="AT164" s="4"/>
      <c r="AU164" s="4"/>
      <c r="AV164" s="4"/>
      <c r="AW164" s="4"/>
      <c r="AX164" s="4"/>
      <c r="AY164" s="4"/>
      <c r="AZ164" s="4"/>
      <c r="BA164" s="57">
        <f t="shared" si="8"/>
        <v>6</v>
      </c>
      <c r="BB164" s="58" t="s">
        <v>19</v>
      </c>
      <c r="BC164" s="65"/>
      <c r="BD164" s="73"/>
      <c r="BE164" s="43"/>
    </row>
    <row r="165" spans="1:57" s="9" customFormat="1" ht="11.25">
      <c r="A165" s="28" t="s">
        <v>229</v>
      </c>
      <c r="B165" s="9" t="str">
        <f>"HIBAJAVÍTÓ ROLLER"</f>
        <v>HIBAJAVÍTÓ ROLLER</v>
      </c>
      <c r="C165" s="9" t="s">
        <v>79</v>
      </c>
      <c r="D165" s="20" t="s">
        <v>19</v>
      </c>
      <c r="E165" s="4"/>
      <c r="F165" s="17"/>
      <c r="G165" s="4"/>
      <c r="H165" s="4"/>
      <c r="I165" s="4">
        <v>3</v>
      </c>
      <c r="J165" s="4">
        <v>3</v>
      </c>
      <c r="K165" s="4"/>
      <c r="L165" s="4">
        <v>10</v>
      </c>
      <c r="M165" s="4"/>
      <c r="N165" s="4"/>
      <c r="O165" s="4"/>
      <c r="P165" s="4">
        <v>1</v>
      </c>
      <c r="Q165" s="4"/>
      <c r="R165" s="4">
        <v>2</v>
      </c>
      <c r="S165" s="4"/>
      <c r="T165" s="4"/>
      <c r="U165" s="4">
        <v>2</v>
      </c>
      <c r="V165" s="4"/>
      <c r="W165" s="4"/>
      <c r="X165" s="4"/>
      <c r="Y165" s="4">
        <v>1</v>
      </c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17"/>
      <c r="AK165" s="4"/>
      <c r="AL165" s="4"/>
      <c r="AM165" s="4"/>
      <c r="AN165" s="4">
        <v>1</v>
      </c>
      <c r="AO165" s="4">
        <v>1</v>
      </c>
      <c r="AP165" s="4">
        <v>1</v>
      </c>
      <c r="AQ165" s="4"/>
      <c r="AR165" s="4">
        <v>2</v>
      </c>
      <c r="AS165" s="4">
        <v>2</v>
      </c>
      <c r="AT165" s="4"/>
      <c r="AU165" s="4">
        <v>1</v>
      </c>
      <c r="AV165" s="4">
        <v>1</v>
      </c>
      <c r="AW165" s="4">
        <v>1</v>
      </c>
      <c r="AX165" s="4">
        <v>1</v>
      </c>
      <c r="AY165" s="4"/>
      <c r="AZ165" s="4">
        <v>6</v>
      </c>
      <c r="BA165" s="57">
        <f t="shared" si="8"/>
        <v>39</v>
      </c>
      <c r="BB165" s="58" t="s">
        <v>19</v>
      </c>
      <c r="BC165" s="65"/>
      <c r="BD165" s="73"/>
      <c r="BE165" s="43"/>
    </row>
    <row r="166" spans="1:57" s="8" customFormat="1" ht="11.25" hidden="1">
      <c r="A166" s="28"/>
      <c r="B166" s="9" t="str">
        <f>"LEFŰZHETŐS TASAK"</f>
        <v>LEFŰZHETŐS TASAK</v>
      </c>
      <c r="C166" s="9"/>
      <c r="D166" s="20" t="s">
        <v>19</v>
      </c>
      <c r="E166" s="5"/>
      <c r="F166" s="1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17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7">
        <f t="shared" si="8"/>
        <v>0</v>
      </c>
      <c r="BB166" s="58" t="s">
        <v>19</v>
      </c>
      <c r="BC166" s="65"/>
      <c r="BD166" s="73"/>
      <c r="BE166" s="43"/>
    </row>
    <row r="167" spans="1:57" s="9" customFormat="1" ht="11.25" hidden="1">
      <c r="A167" s="28"/>
      <c r="B167" s="9" t="str">
        <f>"LEPORELLÓ (1 PLD-OS)"</f>
        <v>LEPORELLÓ (1 PLD-OS)</v>
      </c>
      <c r="C167" s="9" t="s">
        <v>0</v>
      </c>
      <c r="D167" s="20" t="s">
        <v>19</v>
      </c>
      <c r="E167" s="4"/>
      <c r="F167" s="17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17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57">
        <f t="shared" si="8"/>
        <v>0</v>
      </c>
      <c r="BB167" s="58" t="s">
        <v>19</v>
      </c>
      <c r="BC167" s="65"/>
      <c r="BD167" s="73"/>
      <c r="BE167" s="43"/>
    </row>
    <row r="168" spans="1:57" s="9" customFormat="1" ht="11.25" hidden="1">
      <c r="A168" s="28"/>
      <c r="B168" s="9" t="str">
        <f>"LEPORELLÓ (2 PLD-OS)"</f>
        <v>LEPORELLÓ (2 PLD-OS)</v>
      </c>
      <c r="C168" s="9" t="s">
        <v>0</v>
      </c>
      <c r="D168" s="20" t="s">
        <v>19</v>
      </c>
      <c r="E168" s="4"/>
      <c r="F168" s="17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17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57">
        <f t="shared" si="8"/>
        <v>0</v>
      </c>
      <c r="BB168" s="58" t="s">
        <v>19</v>
      </c>
      <c r="BC168" s="65"/>
      <c r="BD168" s="73"/>
      <c r="BE168" s="43"/>
    </row>
    <row r="169" spans="1:57" s="9" customFormat="1" ht="11.25" hidden="1">
      <c r="A169" s="28"/>
      <c r="B169" s="9" t="str">
        <f>"LEPORELLO (SZÉLES) MÜLLER"</f>
        <v>LEPORELLO (SZÉLES) MÜLLER</v>
      </c>
      <c r="C169" s="9" t="str">
        <f>"382/1"</f>
        <v>382/1</v>
      </c>
      <c r="D169" s="20" t="s">
        <v>19</v>
      </c>
      <c r="E169" s="4"/>
      <c r="F169" s="17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17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57">
        <f t="shared" si="8"/>
        <v>0</v>
      </c>
      <c r="BB169" s="58" t="s">
        <v>19</v>
      </c>
      <c r="BC169" s="65"/>
      <c r="BD169" s="73"/>
      <c r="BE169" s="53"/>
    </row>
    <row r="170" spans="1:57" s="8" customFormat="1" ht="11.25" hidden="1">
      <c r="A170" s="28"/>
      <c r="B170" s="9" t="str">
        <f>"LÉPTÉKES VONALZÓ"</f>
        <v>LÉPTÉKES VONALZÓ</v>
      </c>
      <c r="C170" s="9" t="str">
        <f>"601"</f>
        <v>601</v>
      </c>
      <c r="D170" s="20" t="s">
        <v>19</v>
      </c>
      <c r="E170" s="5"/>
      <c r="F170" s="1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17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7">
        <f t="shared" si="8"/>
        <v>0</v>
      </c>
      <c r="BB170" s="58" t="s">
        <v>19</v>
      </c>
      <c r="BC170" s="65"/>
      <c r="BD170" s="73"/>
      <c r="BE170" s="43"/>
    </row>
    <row r="171" spans="1:57" s="9" customFormat="1" ht="11.25" hidden="1">
      <c r="A171" s="28"/>
      <c r="B171" s="9" t="str">
        <f>"LEVÉLBONTÓ KÉS"</f>
        <v>LEVÉLBONTÓ KÉS</v>
      </c>
      <c r="D171" s="20" t="s">
        <v>19</v>
      </c>
      <c r="E171" s="4"/>
      <c r="F171" s="17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17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57">
        <f t="shared" si="8"/>
        <v>0</v>
      </c>
      <c r="BB171" s="58" t="s">
        <v>19</v>
      </c>
      <c r="BC171" s="65"/>
      <c r="BD171" s="73"/>
      <c r="BE171" s="53"/>
    </row>
    <row r="172" spans="1:57" s="8" customFormat="1" ht="11.25" hidden="1">
      <c r="A172" s="28"/>
      <c r="B172" s="9" t="str">
        <f>"LYUKASZTÓGÉP"</f>
        <v>LYUKASZTÓGÉP</v>
      </c>
      <c r="C172" s="9" t="str">
        <f>"EAGLE 837 L"</f>
        <v>EAGLE 837 L</v>
      </c>
      <c r="D172" s="20" t="s">
        <v>19</v>
      </c>
      <c r="E172" s="5"/>
      <c r="F172" s="1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17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7">
        <f t="shared" si="8"/>
        <v>0</v>
      </c>
      <c r="BB172" s="58" t="s">
        <v>19</v>
      </c>
      <c r="BC172" s="65"/>
      <c r="BD172" s="73"/>
      <c r="BE172" s="53"/>
    </row>
    <row r="173" spans="1:57" s="8" customFormat="1" ht="11.25" hidden="1">
      <c r="A173" s="28"/>
      <c r="B173" s="9" t="str">
        <f>"LYUKASZTÓGÉP"</f>
        <v>LYUKASZTÓGÉP</v>
      </c>
      <c r="C173" s="9" t="str">
        <f>"RAPESCO 820-P"</f>
        <v>RAPESCO 820-P</v>
      </c>
      <c r="D173" s="20" t="s">
        <v>19</v>
      </c>
      <c r="E173" s="5"/>
      <c r="F173" s="1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17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7">
        <f t="shared" si="8"/>
        <v>0</v>
      </c>
      <c r="BB173" s="58" t="s">
        <v>19</v>
      </c>
      <c r="BC173" s="65"/>
      <c r="BD173" s="73"/>
      <c r="BE173" s="53"/>
    </row>
    <row r="174" spans="1:57" s="8" customFormat="1" ht="11.25" hidden="1">
      <c r="A174" s="28"/>
      <c r="B174" s="9" t="str">
        <f>"LYUKASZTÓGÉP"</f>
        <v>LYUKASZTÓGÉP</v>
      </c>
      <c r="C174" s="9" t="str">
        <f>"SAX 318"</f>
        <v>SAX 318</v>
      </c>
      <c r="D174" s="20" t="s">
        <v>19</v>
      </c>
      <c r="E174" s="5"/>
      <c r="F174" s="1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17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7">
        <f t="shared" si="8"/>
        <v>0</v>
      </c>
      <c r="BB174" s="58" t="s">
        <v>19</v>
      </c>
      <c r="BC174" s="65"/>
      <c r="BD174" s="73"/>
      <c r="BE174" s="53"/>
    </row>
    <row r="175" spans="1:57" s="8" customFormat="1" ht="11.25" hidden="1">
      <c r="A175" s="28"/>
      <c r="B175" s="9" t="str">
        <f>"MAGIC CLIP ADAGOLÓ"</f>
        <v>MAGIC CLIP ADAGOLÓ</v>
      </c>
      <c r="C175" s="9"/>
      <c r="D175" s="20" t="s">
        <v>19</v>
      </c>
      <c r="E175" s="5"/>
      <c r="F175" s="1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17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7">
        <f t="shared" si="8"/>
        <v>0</v>
      </c>
      <c r="BB175" s="58" t="s">
        <v>19</v>
      </c>
      <c r="BC175" s="65"/>
      <c r="BD175" s="73"/>
      <c r="BE175" s="53"/>
    </row>
    <row r="176" spans="1:57" s="8" customFormat="1" ht="11.25">
      <c r="A176" s="28" t="s">
        <v>230</v>
      </c>
      <c r="B176" s="9" t="s">
        <v>166</v>
      </c>
      <c r="C176" s="9" t="s">
        <v>171</v>
      </c>
      <c r="D176" s="20" t="s">
        <v>19</v>
      </c>
      <c r="E176" s="5"/>
      <c r="F176" s="17"/>
      <c r="G176" s="5"/>
      <c r="H176" s="5"/>
      <c r="I176" s="5"/>
      <c r="J176" s="5"/>
      <c r="K176" s="5"/>
      <c r="L176" s="5"/>
      <c r="M176" s="5"/>
      <c r="N176" s="5"/>
      <c r="O176" s="5">
        <v>5</v>
      </c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17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7">
        <f t="shared" si="8"/>
        <v>5</v>
      </c>
      <c r="BB176" s="58" t="s">
        <v>19</v>
      </c>
      <c r="BC176" s="65"/>
      <c r="BD176" s="73"/>
      <c r="BE176" s="53"/>
    </row>
    <row r="177" spans="1:57" s="8" customFormat="1" ht="11.25">
      <c r="A177" s="28" t="s">
        <v>231</v>
      </c>
      <c r="B177" s="9" t="s">
        <v>33</v>
      </c>
      <c r="C177" s="9" t="s">
        <v>91</v>
      </c>
      <c r="D177" s="20" t="s">
        <v>19</v>
      </c>
      <c r="E177" s="5">
        <v>2</v>
      </c>
      <c r="F177" s="17"/>
      <c r="G177" s="5"/>
      <c r="H177" s="5"/>
      <c r="I177" s="5">
        <v>5</v>
      </c>
      <c r="J177" s="5"/>
      <c r="K177" s="5"/>
      <c r="L177" s="5"/>
      <c r="M177" s="5"/>
      <c r="N177" s="5"/>
      <c r="O177" s="5"/>
      <c r="P177" s="5"/>
      <c r="Q177" s="5"/>
      <c r="R177" s="5">
        <v>1</v>
      </c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17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7">
        <f t="shared" si="8"/>
        <v>8</v>
      </c>
      <c r="BB177" s="58" t="s">
        <v>19</v>
      </c>
      <c r="BC177" s="65"/>
      <c r="BD177" s="73"/>
      <c r="BE177" s="53"/>
    </row>
    <row r="178" spans="1:57" s="8" customFormat="1" ht="11.25">
      <c r="A178" s="28" t="s">
        <v>232</v>
      </c>
      <c r="B178" s="9" t="s">
        <v>33</v>
      </c>
      <c r="C178" s="9" t="s">
        <v>123</v>
      </c>
      <c r="D178" s="20" t="s">
        <v>19</v>
      </c>
      <c r="E178" s="5">
        <v>2</v>
      </c>
      <c r="F178" s="17"/>
      <c r="G178" s="5"/>
      <c r="H178" s="5"/>
      <c r="I178" s="5"/>
      <c r="J178" s="5"/>
      <c r="K178" s="5"/>
      <c r="L178" s="5"/>
      <c r="M178" s="5"/>
      <c r="N178" s="5"/>
      <c r="O178" s="5">
        <v>5</v>
      </c>
      <c r="P178" s="5"/>
      <c r="Q178" s="5"/>
      <c r="R178" s="5">
        <v>4</v>
      </c>
      <c r="S178" s="5">
        <v>1</v>
      </c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17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>
        <v>10</v>
      </c>
      <c r="AW178" s="5"/>
      <c r="AX178" s="5"/>
      <c r="AY178" s="5"/>
      <c r="AZ178" s="5"/>
      <c r="BA178" s="57">
        <f t="shared" si="8"/>
        <v>22</v>
      </c>
      <c r="BB178" s="58" t="s">
        <v>19</v>
      </c>
      <c r="BC178" s="65"/>
      <c r="BD178" s="73"/>
      <c r="BE178" s="53"/>
    </row>
    <row r="179" spans="1:57" s="8" customFormat="1" ht="11.25">
      <c r="A179" s="28" t="s">
        <v>233</v>
      </c>
      <c r="B179" s="9" t="s">
        <v>33</v>
      </c>
      <c r="C179" s="9" t="s">
        <v>98</v>
      </c>
      <c r="D179" s="20" t="s">
        <v>19</v>
      </c>
      <c r="E179" s="5">
        <v>2</v>
      </c>
      <c r="F179" s="17"/>
      <c r="G179" s="5"/>
      <c r="H179" s="5"/>
      <c r="I179" s="5">
        <v>2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>
        <v>2</v>
      </c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17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7">
        <f t="shared" si="8"/>
        <v>6</v>
      </c>
      <c r="BB179" s="58" t="s">
        <v>19</v>
      </c>
      <c r="BC179" s="65"/>
      <c r="BD179" s="73"/>
      <c r="BE179" s="53"/>
    </row>
    <row r="180" spans="1:57" s="8" customFormat="1" ht="11.25">
      <c r="A180" s="28" t="s">
        <v>234</v>
      </c>
      <c r="B180" s="9" t="s">
        <v>33</v>
      </c>
      <c r="C180" s="9" t="s">
        <v>110</v>
      </c>
      <c r="D180" s="20" t="s">
        <v>19</v>
      </c>
      <c r="E180" s="5">
        <v>2</v>
      </c>
      <c r="F180" s="17"/>
      <c r="G180" s="5"/>
      <c r="H180" s="5"/>
      <c r="I180" s="5"/>
      <c r="J180" s="5">
        <v>5</v>
      </c>
      <c r="K180" s="5"/>
      <c r="L180" s="5"/>
      <c r="M180" s="5"/>
      <c r="N180" s="5"/>
      <c r="O180" s="5"/>
      <c r="P180" s="5"/>
      <c r="Q180" s="5"/>
      <c r="R180" s="5"/>
      <c r="S180" s="5">
        <v>4</v>
      </c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17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7">
        <f aca="true" t="shared" si="9" ref="BA180:BA211">SUM(E180:AZ180)</f>
        <v>11</v>
      </c>
      <c r="BB180" s="58" t="s">
        <v>19</v>
      </c>
      <c r="BC180" s="65"/>
      <c r="BD180" s="73"/>
      <c r="BE180" s="53"/>
    </row>
    <row r="181" spans="1:57" s="8" customFormat="1" ht="11.25" hidden="1">
      <c r="A181" s="28"/>
      <c r="B181" s="9" t="s">
        <v>34</v>
      </c>
      <c r="C181" s="9" t="str">
        <f>"A/4"</f>
        <v>A/4</v>
      </c>
      <c r="D181" s="20" t="s">
        <v>19</v>
      </c>
      <c r="E181" s="5"/>
      <c r="F181" s="1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17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7">
        <f t="shared" si="9"/>
        <v>0</v>
      </c>
      <c r="BB181" s="58" t="s">
        <v>19</v>
      </c>
      <c r="BC181" s="65"/>
      <c r="BD181" s="73"/>
      <c r="BE181" s="53"/>
    </row>
    <row r="182" spans="1:57" s="8" customFormat="1" ht="11.25">
      <c r="A182" s="28" t="s">
        <v>235</v>
      </c>
      <c r="B182" s="9" t="s">
        <v>33</v>
      </c>
      <c r="C182" s="9" t="s">
        <v>127</v>
      </c>
      <c r="D182" s="20" t="s">
        <v>19</v>
      </c>
      <c r="E182" s="5"/>
      <c r="F182" s="1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>
        <v>6</v>
      </c>
      <c r="T182" s="5"/>
      <c r="U182" s="5"/>
      <c r="V182" s="5"/>
      <c r="W182" s="5"/>
      <c r="X182" s="5">
        <v>10</v>
      </c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17"/>
      <c r="AK182" s="5"/>
      <c r="AL182" s="5"/>
      <c r="AM182" s="5"/>
      <c r="AN182" s="5"/>
      <c r="AO182" s="5"/>
      <c r="AP182" s="5"/>
      <c r="AQ182" s="5">
        <v>5</v>
      </c>
      <c r="AR182" s="5"/>
      <c r="AS182" s="5"/>
      <c r="AT182" s="5"/>
      <c r="AU182" s="5"/>
      <c r="AV182" s="5"/>
      <c r="AW182" s="5"/>
      <c r="AX182" s="5"/>
      <c r="AY182" s="5"/>
      <c r="AZ182" s="5"/>
      <c r="BA182" s="57">
        <f t="shared" si="9"/>
        <v>21</v>
      </c>
      <c r="BB182" s="58" t="s">
        <v>19</v>
      </c>
      <c r="BC182" s="65"/>
      <c r="BD182" s="73"/>
      <c r="BE182" s="53"/>
    </row>
    <row r="183" spans="1:57" s="8" customFormat="1" ht="11.25">
      <c r="A183" s="28" t="s">
        <v>236</v>
      </c>
      <c r="B183" s="9" t="s">
        <v>33</v>
      </c>
      <c r="C183" s="9" t="s">
        <v>147</v>
      </c>
      <c r="D183" s="20" t="s">
        <v>19</v>
      </c>
      <c r="E183" s="5"/>
      <c r="F183" s="17"/>
      <c r="G183" s="5"/>
      <c r="H183" s="5"/>
      <c r="I183" s="5">
        <v>2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>
        <v>10</v>
      </c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17"/>
      <c r="AK183" s="5"/>
      <c r="AL183" s="5"/>
      <c r="AM183" s="5"/>
      <c r="AN183" s="5"/>
      <c r="AO183" s="5"/>
      <c r="AP183" s="5"/>
      <c r="AQ183" s="5">
        <v>5</v>
      </c>
      <c r="AR183" s="5"/>
      <c r="AS183" s="5"/>
      <c r="AT183" s="5"/>
      <c r="AU183" s="5">
        <v>10</v>
      </c>
      <c r="AV183" s="5"/>
      <c r="AW183" s="5"/>
      <c r="AX183" s="5"/>
      <c r="AY183" s="5"/>
      <c r="AZ183" s="5"/>
      <c r="BA183" s="57">
        <f t="shared" si="9"/>
        <v>27</v>
      </c>
      <c r="BB183" s="58" t="s">
        <v>19</v>
      </c>
      <c r="BC183" s="65"/>
      <c r="BD183" s="73"/>
      <c r="BE183" s="53"/>
    </row>
    <row r="184" spans="1:57" s="8" customFormat="1" ht="11.25">
      <c r="A184" s="28" t="s">
        <v>237</v>
      </c>
      <c r="B184" s="9" t="s">
        <v>33</v>
      </c>
      <c r="C184" s="9" t="s">
        <v>128</v>
      </c>
      <c r="D184" s="20" t="s">
        <v>19</v>
      </c>
      <c r="E184" s="5"/>
      <c r="F184" s="1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>
        <v>1</v>
      </c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17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7">
        <f t="shared" si="9"/>
        <v>1</v>
      </c>
      <c r="BB184" s="58" t="s">
        <v>19</v>
      </c>
      <c r="BC184" s="65"/>
      <c r="BD184" s="73"/>
      <c r="BE184" s="53"/>
    </row>
    <row r="185" spans="1:57" s="8" customFormat="1" ht="11.25">
      <c r="A185" s="28" t="s">
        <v>238</v>
      </c>
      <c r="B185" s="9" t="s">
        <v>33</v>
      </c>
      <c r="C185" s="9" t="s">
        <v>148</v>
      </c>
      <c r="D185" s="20" t="s">
        <v>19</v>
      </c>
      <c r="E185" s="5"/>
      <c r="F185" s="17"/>
      <c r="G185" s="5"/>
      <c r="H185" s="5"/>
      <c r="I185" s="5">
        <v>2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>
        <v>2</v>
      </c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17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7">
        <f t="shared" si="9"/>
        <v>4</v>
      </c>
      <c r="BB185" s="58" t="s">
        <v>19</v>
      </c>
      <c r="BC185" s="65"/>
      <c r="BD185" s="73"/>
      <c r="BE185" s="53"/>
    </row>
    <row r="186" spans="1:57" s="8" customFormat="1" ht="11.25">
      <c r="A186" s="28" t="s">
        <v>239</v>
      </c>
      <c r="B186" s="9" t="str">
        <f>"IRATRENDEZŐ (TOKOS) SZÍNES"</f>
        <v>IRATRENDEZŐ (TOKOS) SZÍNES</v>
      </c>
      <c r="C186" s="9" t="str">
        <f>"A/4"</f>
        <v>A/4</v>
      </c>
      <c r="D186" s="20" t="s">
        <v>19</v>
      </c>
      <c r="E186" s="5"/>
      <c r="F186" s="1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>
        <v>2</v>
      </c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17"/>
      <c r="AK186" s="5"/>
      <c r="AL186" s="5"/>
      <c r="AM186" s="5"/>
      <c r="AN186" s="5"/>
      <c r="AO186" s="5"/>
      <c r="AP186" s="5"/>
      <c r="AQ186" s="5">
        <v>5</v>
      </c>
      <c r="AR186" s="5">
        <v>5</v>
      </c>
      <c r="AS186" s="5">
        <v>5</v>
      </c>
      <c r="AT186" s="5"/>
      <c r="AU186" s="5"/>
      <c r="AV186" s="5"/>
      <c r="AW186" s="5"/>
      <c r="AX186" s="5"/>
      <c r="AY186" s="5"/>
      <c r="AZ186" s="5">
        <v>10</v>
      </c>
      <c r="BA186" s="57">
        <f t="shared" si="9"/>
        <v>27</v>
      </c>
      <c r="BB186" s="58" t="s">
        <v>19</v>
      </c>
      <c r="BC186" s="65"/>
      <c r="BD186" s="73"/>
      <c r="BE186" s="53"/>
    </row>
    <row r="187" spans="1:57" s="8" customFormat="1" ht="11.25" hidden="1">
      <c r="A187" s="28"/>
      <c r="B187" s="9" t="str">
        <f>"RAGASZTÓ SZALAG TÜKÖRHÖZ"</f>
        <v>RAGASZTÓ SZALAG TÜKÖRHÖZ</v>
      </c>
      <c r="C187" s="9"/>
      <c r="D187" s="20" t="s">
        <v>19</v>
      </c>
      <c r="E187" s="5"/>
      <c r="F187" s="1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17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7">
        <f t="shared" si="9"/>
        <v>0</v>
      </c>
      <c r="BB187" s="58" t="s">
        <v>19</v>
      </c>
      <c r="BC187" s="65"/>
      <c r="BD187" s="73"/>
      <c r="BE187" s="53"/>
    </row>
    <row r="188" spans="1:57" s="8" customFormat="1" ht="11.25" hidden="1">
      <c r="A188" s="28"/>
      <c r="B188" s="9" t="str">
        <f>"RAJZLAP"</f>
        <v>RAJZLAP</v>
      </c>
      <c r="C188" s="9" t="str">
        <f>"A/1"</f>
        <v>A/1</v>
      </c>
      <c r="D188" s="20" t="s">
        <v>19</v>
      </c>
      <c r="E188" s="5"/>
      <c r="F188" s="1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17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7">
        <f t="shared" si="9"/>
        <v>0</v>
      </c>
      <c r="BB188" s="58" t="s">
        <v>19</v>
      </c>
      <c r="BC188" s="65"/>
      <c r="BD188" s="73"/>
      <c r="BE188" s="53"/>
    </row>
    <row r="189" spans="1:57" s="8" customFormat="1" ht="11.25" hidden="1">
      <c r="A189" s="28"/>
      <c r="B189" s="9" t="str">
        <f>"RAJZLAP"</f>
        <v>RAJZLAP</v>
      </c>
      <c r="C189" s="9" t="str">
        <f>"A/2"</f>
        <v>A/2</v>
      </c>
      <c r="D189" s="20" t="s">
        <v>19</v>
      </c>
      <c r="E189" s="5"/>
      <c r="F189" s="1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17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7">
        <f t="shared" si="9"/>
        <v>0</v>
      </c>
      <c r="BB189" s="58" t="s">
        <v>19</v>
      </c>
      <c r="BC189" s="65"/>
      <c r="BD189" s="73"/>
      <c r="BE189" s="53"/>
    </row>
    <row r="190" spans="1:57" s="8" customFormat="1" ht="11.25" hidden="1">
      <c r="A190" s="28"/>
      <c r="B190" s="9" t="str">
        <f>"RAJZLAP"</f>
        <v>RAJZLAP</v>
      </c>
      <c r="C190" s="9" t="str">
        <f>"A/4"</f>
        <v>A/4</v>
      </c>
      <c r="D190" s="20" t="s">
        <v>19</v>
      </c>
      <c r="E190" s="5"/>
      <c r="F190" s="17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17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7">
        <f t="shared" si="9"/>
        <v>0</v>
      </c>
      <c r="BB190" s="58" t="s">
        <v>19</v>
      </c>
      <c r="BC190" s="65"/>
      <c r="BD190" s="73"/>
      <c r="BE190" s="53"/>
    </row>
    <row r="191" spans="1:57" s="8" customFormat="1" ht="11.25">
      <c r="A191" s="28" t="s">
        <v>240</v>
      </c>
      <c r="B191" s="9" t="s">
        <v>140</v>
      </c>
      <c r="C191" s="9" t="str">
        <f>"A/4"</f>
        <v>A/4</v>
      </c>
      <c r="D191" s="20" t="s">
        <v>19</v>
      </c>
      <c r="E191" s="5"/>
      <c r="F191" s="17">
        <v>4</v>
      </c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17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7">
        <f t="shared" si="9"/>
        <v>4</v>
      </c>
      <c r="BB191" s="58" t="s">
        <v>19</v>
      </c>
      <c r="BC191" s="65"/>
      <c r="BD191" s="73"/>
      <c r="BE191" s="53"/>
    </row>
    <row r="192" spans="1:57" s="8" customFormat="1" ht="11.25">
      <c r="A192" s="28" t="s">
        <v>241</v>
      </c>
      <c r="B192" s="9" t="s">
        <v>130</v>
      </c>
      <c r="C192" s="9" t="s">
        <v>129</v>
      </c>
      <c r="D192" s="20" t="s">
        <v>19</v>
      </c>
      <c r="E192" s="5"/>
      <c r="F192" s="17"/>
      <c r="G192" s="5"/>
      <c r="H192" s="5">
        <v>1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17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7">
        <f t="shared" si="9"/>
        <v>1</v>
      </c>
      <c r="BB192" s="58" t="s">
        <v>19</v>
      </c>
      <c r="BC192" s="65"/>
      <c r="BD192" s="73"/>
      <c r="BE192" s="53"/>
    </row>
    <row r="193" spans="1:57" s="8" customFormat="1" ht="11.25">
      <c r="A193" s="28" t="s">
        <v>242</v>
      </c>
      <c r="B193" s="9" t="s">
        <v>134</v>
      </c>
      <c r="C193" s="9" t="s">
        <v>135</v>
      </c>
      <c r="D193" s="20" t="s">
        <v>19</v>
      </c>
      <c r="E193" s="5">
        <v>5</v>
      </c>
      <c r="F193" s="17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17"/>
      <c r="AK193" s="5"/>
      <c r="AL193" s="5"/>
      <c r="AM193" s="5"/>
      <c r="AN193" s="5"/>
      <c r="AO193" s="5"/>
      <c r="AP193" s="5">
        <v>20</v>
      </c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7">
        <f t="shared" si="9"/>
        <v>25</v>
      </c>
      <c r="BB193" s="58" t="s">
        <v>19</v>
      </c>
      <c r="BC193" s="65"/>
      <c r="BD193" s="73"/>
      <c r="BE193" s="53"/>
    </row>
    <row r="194" spans="1:57" s="8" customFormat="1" ht="11.25">
      <c r="A194" s="28" t="s">
        <v>243</v>
      </c>
      <c r="B194" s="9" t="s">
        <v>134</v>
      </c>
      <c r="C194" s="9" t="s">
        <v>136</v>
      </c>
      <c r="D194" s="20" t="s">
        <v>19</v>
      </c>
      <c r="E194" s="5">
        <v>5</v>
      </c>
      <c r="F194" s="1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17"/>
      <c r="AK194" s="5"/>
      <c r="AL194" s="5"/>
      <c r="AM194" s="5"/>
      <c r="AN194" s="5"/>
      <c r="AO194" s="5"/>
      <c r="AP194" s="5">
        <v>20</v>
      </c>
      <c r="AQ194" s="5"/>
      <c r="AR194" s="5"/>
      <c r="AS194" s="5">
        <v>3</v>
      </c>
      <c r="AT194" s="5"/>
      <c r="AU194" s="5"/>
      <c r="AV194" s="5"/>
      <c r="AW194" s="5"/>
      <c r="AX194" s="5"/>
      <c r="AY194" s="5"/>
      <c r="AZ194" s="5"/>
      <c r="BA194" s="57">
        <f t="shared" si="9"/>
        <v>28</v>
      </c>
      <c r="BB194" s="58" t="s">
        <v>19</v>
      </c>
      <c r="BC194" s="65"/>
      <c r="BD194" s="73"/>
      <c r="BE194" s="53"/>
    </row>
    <row r="195" spans="1:57" s="8" customFormat="1" ht="11.25">
      <c r="A195" s="28" t="s">
        <v>244</v>
      </c>
      <c r="B195" s="9" t="s">
        <v>134</v>
      </c>
      <c r="C195" s="9" t="s">
        <v>137</v>
      </c>
      <c r="D195" s="20" t="s">
        <v>19</v>
      </c>
      <c r="E195" s="5">
        <v>5</v>
      </c>
      <c r="F195" s="1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17"/>
      <c r="AK195" s="5"/>
      <c r="AL195" s="5"/>
      <c r="AM195" s="5"/>
      <c r="AN195" s="5"/>
      <c r="AO195" s="5"/>
      <c r="AP195" s="5"/>
      <c r="AQ195" s="5"/>
      <c r="AR195" s="5"/>
      <c r="AS195" s="5">
        <v>2</v>
      </c>
      <c r="AT195" s="5"/>
      <c r="AU195" s="5"/>
      <c r="AV195" s="5"/>
      <c r="AW195" s="5"/>
      <c r="AX195" s="5"/>
      <c r="AY195" s="5"/>
      <c r="AZ195" s="5"/>
      <c r="BA195" s="57">
        <f t="shared" si="9"/>
        <v>7</v>
      </c>
      <c r="BB195" s="58" t="s">
        <v>19</v>
      </c>
      <c r="BC195" s="65"/>
      <c r="BD195" s="73"/>
      <c r="BE195" s="53"/>
    </row>
    <row r="196" spans="1:57" s="8" customFormat="1" ht="11.25">
      <c r="A196" s="28" t="s">
        <v>245</v>
      </c>
      <c r="B196" s="9" t="s">
        <v>149</v>
      </c>
      <c r="C196" s="9" t="s">
        <v>138</v>
      </c>
      <c r="D196" s="20" t="s">
        <v>19</v>
      </c>
      <c r="E196" s="5">
        <v>15</v>
      </c>
      <c r="F196" s="1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17"/>
      <c r="AK196" s="5"/>
      <c r="AL196" s="5"/>
      <c r="AM196" s="5"/>
      <c r="AN196" s="5"/>
      <c r="AO196" s="5"/>
      <c r="AP196" s="5">
        <v>20</v>
      </c>
      <c r="AQ196" s="5"/>
      <c r="AR196" s="5"/>
      <c r="AS196" s="5">
        <v>5</v>
      </c>
      <c r="AT196" s="5"/>
      <c r="AU196" s="5"/>
      <c r="AV196" s="5"/>
      <c r="AW196" s="5"/>
      <c r="AX196" s="5"/>
      <c r="AY196" s="5"/>
      <c r="AZ196" s="5"/>
      <c r="BA196" s="57">
        <v>100</v>
      </c>
      <c r="BB196" s="58" t="s">
        <v>19</v>
      </c>
      <c r="BC196" s="65"/>
      <c r="BD196" s="73"/>
      <c r="BE196" s="53"/>
    </row>
    <row r="197" spans="1:57" s="8" customFormat="1" ht="11.25">
      <c r="A197" s="28" t="s">
        <v>246</v>
      </c>
      <c r="B197" s="8" t="s">
        <v>66</v>
      </c>
      <c r="D197" s="20" t="s">
        <v>26</v>
      </c>
      <c r="E197" s="5">
        <v>2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>
        <v>2</v>
      </c>
      <c r="BA197" s="57">
        <f aca="true" t="shared" si="10" ref="BA197:BA228">SUM(E197:AZ197)</f>
        <v>4</v>
      </c>
      <c r="BB197" s="58" t="s">
        <v>26</v>
      </c>
      <c r="BC197" s="65"/>
      <c r="BD197" s="73"/>
      <c r="BE197" s="53"/>
    </row>
    <row r="198" spans="1:57" s="9" customFormat="1" ht="11.25" hidden="1">
      <c r="A198" s="28"/>
      <c r="B198" s="9" t="str">
        <f>"RAKTÁRI KÉSZLETNYILVÁNTARTÓ"</f>
        <v>RAKTÁRI KÉSZLETNYILVÁNTARTÓ</v>
      </c>
      <c r="C198" s="9" t="str">
        <f>"B.12-152"</f>
        <v>B.12-152</v>
      </c>
      <c r="D198" s="17"/>
      <c r="E198" s="4"/>
      <c r="F198" s="1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17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57">
        <f t="shared" si="10"/>
        <v>0</v>
      </c>
      <c r="BB198" s="56"/>
      <c r="BC198" s="65"/>
      <c r="BD198" s="73"/>
      <c r="BE198" s="43"/>
    </row>
    <row r="199" spans="1:57" s="9" customFormat="1" ht="11.25" hidden="1">
      <c r="A199" s="28"/>
      <c r="B199" s="9" t="s">
        <v>2</v>
      </c>
      <c r="C199" s="9" t="s">
        <v>5</v>
      </c>
      <c r="D199" s="20" t="s">
        <v>19</v>
      </c>
      <c r="E199" s="4"/>
      <c r="F199" s="17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5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17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57">
        <f t="shared" si="10"/>
        <v>0</v>
      </c>
      <c r="BB199" s="58" t="s">
        <v>19</v>
      </c>
      <c r="BC199" s="65"/>
      <c r="BD199" s="73"/>
      <c r="BE199" s="43"/>
    </row>
    <row r="200" spans="1:57" s="9" customFormat="1" ht="11.25" hidden="1">
      <c r="A200" s="28"/>
      <c r="B200" s="9" t="s">
        <v>82</v>
      </c>
      <c r="C200" s="9" t="str">
        <f>"PENTEL"</f>
        <v>PENTEL</v>
      </c>
      <c r="D200" s="20" t="s">
        <v>19</v>
      </c>
      <c r="E200" s="4"/>
      <c r="F200" s="17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17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57">
        <f t="shared" si="10"/>
        <v>0</v>
      </c>
      <c r="BB200" s="58" t="s">
        <v>19</v>
      </c>
      <c r="BC200" s="65"/>
      <c r="BD200" s="73"/>
      <c r="BE200" s="43"/>
    </row>
    <row r="201" spans="1:57" s="9" customFormat="1" ht="11.25" hidden="1">
      <c r="A201" s="28"/>
      <c r="B201" s="9" t="s">
        <v>82</v>
      </c>
      <c r="C201" s="9" t="str">
        <f>"ULTRA FINE 3"</f>
        <v>ULTRA FINE 3</v>
      </c>
      <c r="D201" s="20" t="s">
        <v>19</v>
      </c>
      <c r="E201" s="4"/>
      <c r="F201" s="17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17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57">
        <f t="shared" si="10"/>
        <v>0</v>
      </c>
      <c r="BB201" s="58" t="s">
        <v>19</v>
      </c>
      <c r="BC201" s="65"/>
      <c r="BD201" s="73"/>
      <c r="BE201" s="53"/>
    </row>
    <row r="202" spans="1:57" s="8" customFormat="1" ht="11.25" hidden="1">
      <c r="A202" s="28"/>
      <c r="B202" s="9" t="s">
        <v>82</v>
      </c>
      <c r="C202" s="9" t="str">
        <f>"18X25 MM"</f>
        <v>18X25 MM</v>
      </c>
      <c r="D202" s="20" t="s">
        <v>19</v>
      </c>
      <c r="E202" s="5"/>
      <c r="F202" s="1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17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7">
        <f t="shared" si="10"/>
        <v>0</v>
      </c>
      <c r="BB202" s="58" t="s">
        <v>19</v>
      </c>
      <c r="BC202" s="65"/>
      <c r="BD202" s="73"/>
      <c r="BE202" s="53"/>
    </row>
    <row r="203" spans="1:57" s="8" customFormat="1" ht="11.25" hidden="1">
      <c r="A203" s="28"/>
      <c r="B203" s="9" t="s">
        <v>82</v>
      </c>
      <c r="C203" s="9" t="str">
        <f>"20X32 MM"</f>
        <v>20X32 MM</v>
      </c>
      <c r="D203" s="20" t="s">
        <v>19</v>
      </c>
      <c r="E203" s="5"/>
      <c r="F203" s="1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17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7">
        <f t="shared" si="10"/>
        <v>0</v>
      </c>
      <c r="BB203" s="58" t="s">
        <v>19</v>
      </c>
      <c r="BC203" s="65"/>
      <c r="BD203" s="73"/>
      <c r="BE203" s="43"/>
    </row>
    <row r="204" spans="1:57" s="9" customFormat="1" ht="11.25" hidden="1">
      <c r="A204" s="28"/>
      <c r="B204" s="9" t="s">
        <v>82</v>
      </c>
      <c r="C204" s="9" t="str">
        <f>"PÁTRIA"</f>
        <v>PÁTRIA</v>
      </c>
      <c r="D204" s="20" t="s">
        <v>19</v>
      </c>
      <c r="E204" s="4"/>
      <c r="F204" s="17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17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57">
        <f t="shared" si="10"/>
        <v>0</v>
      </c>
      <c r="BB204" s="58" t="s">
        <v>19</v>
      </c>
      <c r="BC204" s="65"/>
      <c r="BD204" s="73"/>
      <c r="BE204" s="53"/>
    </row>
    <row r="205" spans="1:57" s="8" customFormat="1" ht="11.25" hidden="1">
      <c r="A205" s="28"/>
      <c r="B205" s="9" t="s">
        <v>82</v>
      </c>
      <c r="C205" s="9"/>
      <c r="D205" s="20" t="s">
        <v>19</v>
      </c>
      <c r="E205" s="5"/>
      <c r="F205" s="17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17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7">
        <f t="shared" si="10"/>
        <v>0</v>
      </c>
      <c r="BB205" s="58" t="s">
        <v>19</v>
      </c>
      <c r="BC205" s="65"/>
      <c r="BD205" s="73"/>
      <c r="BE205" s="53"/>
    </row>
    <row r="206" spans="1:57" s="8" customFormat="1" ht="11.25">
      <c r="A206" s="28" t="s">
        <v>247</v>
      </c>
      <c r="B206" s="9" t="s">
        <v>142</v>
      </c>
      <c r="C206" s="9" t="s">
        <v>143</v>
      </c>
      <c r="D206" s="20" t="s">
        <v>20</v>
      </c>
      <c r="E206" s="5">
        <v>1</v>
      </c>
      <c r="F206" s="17">
        <v>1</v>
      </c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v>4</v>
      </c>
      <c r="S206" s="5">
        <v>2</v>
      </c>
      <c r="T206" s="5"/>
      <c r="U206" s="5">
        <v>1</v>
      </c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17"/>
      <c r="AK206" s="5"/>
      <c r="AL206" s="5"/>
      <c r="AM206" s="5"/>
      <c r="AN206" s="5">
        <v>1</v>
      </c>
      <c r="AO206" s="5">
        <v>1</v>
      </c>
      <c r="AP206" s="5">
        <v>1</v>
      </c>
      <c r="AQ206" s="5">
        <v>1</v>
      </c>
      <c r="AR206" s="5">
        <v>2</v>
      </c>
      <c r="AS206" s="5">
        <v>2</v>
      </c>
      <c r="AT206" s="5"/>
      <c r="AU206" s="5"/>
      <c r="AV206" s="5"/>
      <c r="AW206" s="5"/>
      <c r="AX206" s="5"/>
      <c r="AY206" s="5"/>
      <c r="AZ206" s="5"/>
      <c r="BA206" s="57">
        <f t="shared" si="10"/>
        <v>17</v>
      </c>
      <c r="BB206" s="58" t="s">
        <v>20</v>
      </c>
      <c r="BC206" s="65"/>
      <c r="BD206" s="73"/>
      <c r="BE206" s="53"/>
    </row>
    <row r="207" spans="1:57" s="8" customFormat="1" ht="11.25">
      <c r="A207" s="28" t="s">
        <v>248</v>
      </c>
      <c r="B207" s="9" t="s">
        <v>164</v>
      </c>
      <c r="C207" s="9" t="s">
        <v>165</v>
      </c>
      <c r="D207" s="20" t="s">
        <v>20</v>
      </c>
      <c r="E207" s="5"/>
      <c r="F207" s="17"/>
      <c r="G207" s="5"/>
      <c r="H207" s="5"/>
      <c r="I207" s="5"/>
      <c r="J207" s="5"/>
      <c r="K207" s="5"/>
      <c r="L207" s="5"/>
      <c r="M207" s="5"/>
      <c r="N207" s="5"/>
      <c r="O207" s="5"/>
      <c r="P207" s="5">
        <v>5</v>
      </c>
      <c r="Q207" s="5"/>
      <c r="R207" s="5"/>
      <c r="S207" s="5"/>
      <c r="T207" s="5"/>
      <c r="U207" s="5">
        <v>1</v>
      </c>
      <c r="V207" s="5"/>
      <c r="W207" s="5">
        <v>2</v>
      </c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17"/>
      <c r="AK207" s="5"/>
      <c r="AL207" s="5"/>
      <c r="AM207" s="5"/>
      <c r="AN207" s="5">
        <v>2</v>
      </c>
      <c r="AO207" s="5">
        <v>2</v>
      </c>
      <c r="AP207" s="5">
        <v>2</v>
      </c>
      <c r="AQ207" s="5">
        <v>2</v>
      </c>
      <c r="AR207" s="5">
        <v>2</v>
      </c>
      <c r="AS207" s="5">
        <v>2</v>
      </c>
      <c r="AT207" s="5">
        <v>3</v>
      </c>
      <c r="AU207" s="5"/>
      <c r="AV207" s="5"/>
      <c r="AW207" s="5"/>
      <c r="AX207" s="5"/>
      <c r="AY207" s="5"/>
      <c r="AZ207" s="5"/>
      <c r="BA207" s="57">
        <f t="shared" si="10"/>
        <v>23</v>
      </c>
      <c r="BB207" s="58" t="s">
        <v>20</v>
      </c>
      <c r="BC207" s="65"/>
      <c r="BD207" s="73"/>
      <c r="BE207" s="53"/>
    </row>
    <row r="208" spans="1:57" s="8" customFormat="1" ht="11.25">
      <c r="A208" s="28" t="s">
        <v>249</v>
      </c>
      <c r="B208" s="9" t="s">
        <v>139</v>
      </c>
      <c r="C208" s="9" t="s">
        <v>120</v>
      </c>
      <c r="D208" s="20" t="s">
        <v>19</v>
      </c>
      <c r="E208" s="5">
        <v>1</v>
      </c>
      <c r="F208" s="1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17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7">
        <f t="shared" si="10"/>
        <v>1</v>
      </c>
      <c r="BB208" s="58" t="s">
        <v>19</v>
      </c>
      <c r="BC208" s="65"/>
      <c r="BD208" s="73"/>
      <c r="BE208" s="53"/>
    </row>
    <row r="209" spans="1:57" s="8" customFormat="1" ht="11.25">
      <c r="A209" s="28" t="s">
        <v>250</v>
      </c>
      <c r="B209" s="9" t="s">
        <v>82</v>
      </c>
      <c r="C209" s="9" t="s">
        <v>94</v>
      </c>
      <c r="D209" s="20" t="s">
        <v>19</v>
      </c>
      <c r="E209" s="5">
        <v>2</v>
      </c>
      <c r="F209" s="17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>
        <v>1</v>
      </c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17"/>
      <c r="AK209" s="5"/>
      <c r="AL209" s="5"/>
      <c r="AM209" s="5"/>
      <c r="AN209" s="5"/>
      <c r="AO209" s="5"/>
      <c r="AP209" s="5"/>
      <c r="AQ209" s="5"/>
      <c r="AR209" s="5">
        <v>2</v>
      </c>
      <c r="AS209" s="5">
        <v>2</v>
      </c>
      <c r="AT209" s="5"/>
      <c r="AU209" s="5"/>
      <c r="AV209" s="5"/>
      <c r="AW209" s="5"/>
      <c r="AX209" s="5"/>
      <c r="AY209" s="5"/>
      <c r="AZ209" s="5"/>
      <c r="BA209" s="57">
        <f t="shared" si="10"/>
        <v>7</v>
      </c>
      <c r="BB209" s="58" t="s">
        <v>19</v>
      </c>
      <c r="BC209" s="65"/>
      <c r="BD209" s="73"/>
      <c r="BE209" s="53"/>
    </row>
    <row r="210" spans="1:57" s="8" customFormat="1" ht="11.25">
      <c r="A210" s="28" t="s">
        <v>251</v>
      </c>
      <c r="B210" s="9" t="s">
        <v>82</v>
      </c>
      <c r="C210" s="9" t="s">
        <v>121</v>
      </c>
      <c r="D210" s="20" t="s">
        <v>19</v>
      </c>
      <c r="E210" s="5">
        <v>2</v>
      </c>
      <c r="F210" s="17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17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7">
        <f t="shared" si="10"/>
        <v>2</v>
      </c>
      <c r="BB210" s="58" t="s">
        <v>19</v>
      </c>
      <c r="BC210" s="65"/>
      <c r="BD210" s="73"/>
      <c r="BE210" s="53"/>
    </row>
    <row r="211" spans="1:57" s="8" customFormat="1" ht="11.25">
      <c r="A211" s="27" t="s">
        <v>252</v>
      </c>
      <c r="B211" s="8" t="s">
        <v>68</v>
      </c>
      <c r="C211" s="8" t="s">
        <v>67</v>
      </c>
      <c r="D211" s="20" t="s">
        <v>19</v>
      </c>
      <c r="E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>
        <v>1</v>
      </c>
      <c r="V211" s="5"/>
      <c r="W211" s="5"/>
      <c r="X211" s="5">
        <v>30</v>
      </c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>
        <v>2</v>
      </c>
      <c r="AS211" s="5">
        <v>2</v>
      </c>
      <c r="AT211" s="5"/>
      <c r="AU211" s="5"/>
      <c r="AV211" s="5"/>
      <c r="AW211" s="5"/>
      <c r="AX211" s="5"/>
      <c r="AY211" s="5"/>
      <c r="AZ211" s="5">
        <v>10</v>
      </c>
      <c r="BA211" s="57">
        <f t="shared" si="10"/>
        <v>45</v>
      </c>
      <c r="BB211" s="58" t="s">
        <v>19</v>
      </c>
      <c r="BC211" s="65"/>
      <c r="BD211" s="73"/>
      <c r="BE211" s="53"/>
    </row>
    <row r="212" spans="1:57" s="9" customFormat="1" ht="11.25" hidden="1">
      <c r="A212" s="28"/>
      <c r="B212" s="8" t="s">
        <v>64</v>
      </c>
      <c r="C212" s="8" t="s">
        <v>65</v>
      </c>
      <c r="D212" s="20" t="s">
        <v>19</v>
      </c>
      <c r="E212" s="4"/>
      <c r="F212" s="17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17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57">
        <f t="shared" si="10"/>
        <v>0</v>
      </c>
      <c r="BB212" s="58" t="s">
        <v>19</v>
      </c>
      <c r="BC212" s="65"/>
      <c r="BD212" s="73"/>
      <c r="BE212" s="43"/>
    </row>
    <row r="213" spans="1:57" s="9" customFormat="1" ht="11.25" hidden="1">
      <c r="A213" s="28"/>
      <c r="B213" s="8" t="s">
        <v>64</v>
      </c>
      <c r="C213" s="8" t="s">
        <v>65</v>
      </c>
      <c r="D213" s="20" t="s">
        <v>19</v>
      </c>
      <c r="E213" s="4"/>
      <c r="F213" s="17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17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57">
        <f t="shared" si="10"/>
        <v>0</v>
      </c>
      <c r="BB213" s="58" t="s">
        <v>19</v>
      </c>
      <c r="BC213" s="65"/>
      <c r="BD213" s="73"/>
      <c r="BE213" s="43"/>
    </row>
    <row r="214" spans="1:57" s="9" customFormat="1" ht="11.25" hidden="1">
      <c r="A214" s="28"/>
      <c r="B214" s="8" t="s">
        <v>64</v>
      </c>
      <c r="C214" s="8" t="s">
        <v>65</v>
      </c>
      <c r="D214" s="20" t="s">
        <v>19</v>
      </c>
      <c r="E214" s="4"/>
      <c r="F214" s="17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17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57">
        <f t="shared" si="10"/>
        <v>0</v>
      </c>
      <c r="BB214" s="58" t="s">
        <v>19</v>
      </c>
      <c r="BC214" s="65"/>
      <c r="BD214" s="73"/>
      <c r="BE214" s="53"/>
    </row>
    <row r="215" spans="1:57" s="8" customFormat="1" ht="11.25" hidden="1">
      <c r="A215" s="28"/>
      <c r="B215" s="8" t="s">
        <v>64</v>
      </c>
      <c r="C215" s="8" t="s">
        <v>65</v>
      </c>
      <c r="D215" s="20" t="s">
        <v>19</v>
      </c>
      <c r="E215" s="5"/>
      <c r="F215" s="1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17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7">
        <f t="shared" si="10"/>
        <v>0</v>
      </c>
      <c r="BB215" s="58" t="s">
        <v>19</v>
      </c>
      <c r="BC215" s="65"/>
      <c r="BD215" s="73"/>
      <c r="BE215" s="43"/>
    </row>
    <row r="216" spans="1:57" s="8" customFormat="1" ht="11.25">
      <c r="A216" s="27" t="s">
        <v>253</v>
      </c>
      <c r="B216" s="8" t="s">
        <v>68</v>
      </c>
      <c r="C216" s="8" t="s">
        <v>168</v>
      </c>
      <c r="D216" s="20" t="s">
        <v>19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5">
        <v>10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17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7">
        <f t="shared" si="10"/>
        <v>10</v>
      </c>
      <c r="BB216" s="58" t="s">
        <v>19</v>
      </c>
      <c r="BC216" s="65"/>
      <c r="BD216" s="73"/>
      <c r="BE216" s="43"/>
    </row>
    <row r="217" spans="1:57" s="8" customFormat="1" ht="11.25">
      <c r="A217" s="27" t="s">
        <v>254</v>
      </c>
      <c r="B217" s="8" t="s">
        <v>68</v>
      </c>
      <c r="C217" s="8" t="s">
        <v>169</v>
      </c>
      <c r="D217" s="20" t="s">
        <v>19</v>
      </c>
      <c r="E217" s="5"/>
      <c r="F217" s="17"/>
      <c r="G217" s="5"/>
      <c r="H217" s="5"/>
      <c r="I217" s="5"/>
      <c r="J217" s="5"/>
      <c r="K217" s="5"/>
      <c r="L217" s="5"/>
      <c r="M217" s="5"/>
      <c r="N217" s="5"/>
      <c r="O217" s="5">
        <v>10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17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7">
        <f t="shared" si="10"/>
        <v>10</v>
      </c>
      <c r="BB217" s="58" t="s">
        <v>19</v>
      </c>
      <c r="BC217" s="65"/>
      <c r="BD217" s="73"/>
      <c r="BE217" s="43"/>
    </row>
    <row r="218" spans="1:57" s="8" customFormat="1" ht="11.25">
      <c r="A218" s="28" t="s">
        <v>255</v>
      </c>
      <c r="B218" s="9" t="str">
        <f>"RADÍR"</f>
        <v>RADÍR</v>
      </c>
      <c r="C218" s="9" t="str">
        <f>"TIKKY 20"</f>
        <v>TIKKY 20</v>
      </c>
      <c r="D218" s="20" t="s">
        <v>19</v>
      </c>
      <c r="E218" s="5"/>
      <c r="F218" s="17"/>
      <c r="G218" s="5"/>
      <c r="H218" s="5"/>
      <c r="I218" s="5"/>
      <c r="J218" s="5"/>
      <c r="K218" s="5"/>
      <c r="L218" s="5">
        <v>1</v>
      </c>
      <c r="M218" s="5"/>
      <c r="N218" s="5"/>
      <c r="O218" s="5"/>
      <c r="P218" s="5"/>
      <c r="Q218" s="5"/>
      <c r="R218" s="5"/>
      <c r="S218" s="5"/>
      <c r="T218" s="5"/>
      <c r="U218" s="5">
        <v>1</v>
      </c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17"/>
      <c r="AK218" s="5"/>
      <c r="AL218" s="5"/>
      <c r="AM218" s="5"/>
      <c r="AN218" s="5">
        <v>2</v>
      </c>
      <c r="AO218" s="5">
        <v>2</v>
      </c>
      <c r="AP218" s="5">
        <v>2</v>
      </c>
      <c r="AQ218" s="5">
        <v>2</v>
      </c>
      <c r="AR218" s="5">
        <v>2</v>
      </c>
      <c r="AS218" s="5">
        <v>2</v>
      </c>
      <c r="AT218" s="5"/>
      <c r="AU218" s="5"/>
      <c r="AV218" s="5"/>
      <c r="AW218" s="5"/>
      <c r="AX218" s="5"/>
      <c r="AY218" s="5"/>
      <c r="AZ218" s="5"/>
      <c r="BA218" s="57">
        <f t="shared" si="10"/>
        <v>14</v>
      </c>
      <c r="BB218" s="58" t="s">
        <v>19</v>
      </c>
      <c r="BC218" s="65"/>
      <c r="BD218" s="73"/>
      <c r="BE218" s="53"/>
    </row>
    <row r="219" spans="1:57" s="9" customFormat="1" ht="11.25">
      <c r="A219" s="28" t="s">
        <v>256</v>
      </c>
      <c r="B219" s="9" t="s">
        <v>111</v>
      </c>
      <c r="D219" s="20" t="s">
        <v>19</v>
      </c>
      <c r="E219" s="5">
        <v>6</v>
      </c>
      <c r="F219" s="1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>
        <v>1</v>
      </c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17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>
        <v>2</v>
      </c>
      <c r="BA219" s="57">
        <f t="shared" si="10"/>
        <v>9</v>
      </c>
      <c r="BB219" s="58" t="s">
        <v>19</v>
      </c>
      <c r="BC219" s="65"/>
      <c r="BD219" s="73"/>
      <c r="BE219" s="53"/>
    </row>
    <row r="220" spans="1:57" s="8" customFormat="1" ht="11.25" hidden="1">
      <c r="A220" s="28"/>
      <c r="B220" s="9" t="str">
        <f>"TÁBLATŰ"</f>
        <v>TÁBLATŰ</v>
      </c>
      <c r="C220" s="9"/>
      <c r="D220" s="20"/>
      <c r="E220" s="5"/>
      <c r="F220" s="1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17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7">
        <f t="shared" si="10"/>
        <v>0</v>
      </c>
      <c r="BB220" s="58"/>
      <c r="BC220" s="65"/>
      <c r="BD220" s="73"/>
      <c r="BE220" s="53"/>
    </row>
    <row r="221" spans="1:57" s="8" customFormat="1" ht="11.25" hidden="1">
      <c r="A221" s="28"/>
      <c r="B221" s="9" t="str">
        <f>"TASAK"</f>
        <v>TASAK</v>
      </c>
      <c r="C221" s="9"/>
      <c r="D221" s="20"/>
      <c r="E221" s="5"/>
      <c r="F221" s="1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17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7">
        <f t="shared" si="10"/>
        <v>0</v>
      </c>
      <c r="BB221" s="58"/>
      <c r="BC221" s="65"/>
      <c r="BD221" s="73"/>
      <c r="BE221" s="53"/>
    </row>
    <row r="222" spans="1:57" s="8" customFormat="1" ht="11.25" hidden="1">
      <c r="A222" s="28"/>
      <c r="B222" s="9" t="str">
        <f>"TASAK (CIPZÁRAS)"</f>
        <v>TASAK (CIPZÁRAS)</v>
      </c>
      <c r="C222" s="9" t="str">
        <f>"A/4"</f>
        <v>A/4</v>
      </c>
      <c r="D222" s="20"/>
      <c r="E222" s="5"/>
      <c r="F222" s="1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17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7">
        <f t="shared" si="10"/>
        <v>0</v>
      </c>
      <c r="BB222" s="58"/>
      <c r="BC222" s="65"/>
      <c r="BD222" s="73"/>
      <c r="BE222" s="53"/>
    </row>
    <row r="223" spans="1:57" s="8" customFormat="1" ht="11.25" hidden="1">
      <c r="A223" s="28"/>
      <c r="B223" s="9" t="str">
        <f>"TASAK (CIPZÁRAS)"</f>
        <v>TASAK (CIPZÁRAS)</v>
      </c>
      <c r="C223" s="9" t="str">
        <f>"A/5"</f>
        <v>A/5</v>
      </c>
      <c r="D223" s="20"/>
      <c r="E223" s="5"/>
      <c r="F223" s="1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17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7">
        <f t="shared" si="10"/>
        <v>0</v>
      </c>
      <c r="BB223" s="58"/>
      <c r="BC223" s="65"/>
      <c r="BD223" s="73"/>
      <c r="BE223" s="43"/>
    </row>
    <row r="224" spans="1:57" s="9" customFormat="1" ht="11.25" hidden="1">
      <c r="A224" s="28"/>
      <c r="B224" s="9" t="str">
        <f>"TB NAPTÁR"</f>
        <v>TB NAPTÁR</v>
      </c>
      <c r="D224" s="17"/>
      <c r="E224" s="4"/>
      <c r="F224" s="17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17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57">
        <f t="shared" si="10"/>
        <v>0</v>
      </c>
      <c r="BB224" s="56"/>
      <c r="BC224" s="65"/>
      <c r="BD224" s="73"/>
      <c r="BE224" s="53"/>
    </row>
    <row r="225" spans="1:57" s="8" customFormat="1" ht="11.25" hidden="1">
      <c r="A225" s="28"/>
      <c r="B225" s="9" t="str">
        <f>"TELEFONBLOKK"</f>
        <v>TELEFONBLOKK</v>
      </c>
      <c r="C225" s="9"/>
      <c r="D225" s="20"/>
      <c r="E225" s="5"/>
      <c r="F225" s="1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17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7">
        <f t="shared" si="10"/>
        <v>0</v>
      </c>
      <c r="BB225" s="58"/>
      <c r="BC225" s="65"/>
      <c r="BD225" s="73"/>
      <c r="BE225" s="53"/>
    </row>
    <row r="226" spans="1:57" s="8" customFormat="1" ht="11.25" hidden="1">
      <c r="A226" s="28"/>
      <c r="B226" s="9" t="str">
        <f>"TÉPŐTÖMB (FEHÉR)"</f>
        <v>TÉPŐTÖMB (FEHÉR)</v>
      </c>
      <c r="C226" s="9" t="str">
        <f>"009X009 CM"</f>
        <v>009X009 CM</v>
      </c>
      <c r="D226" s="20"/>
      <c r="E226" s="5"/>
      <c r="F226" s="1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17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7">
        <f t="shared" si="10"/>
        <v>0</v>
      </c>
      <c r="BB226" s="58"/>
      <c r="BC226" s="65"/>
      <c r="BD226" s="73"/>
      <c r="BE226" s="53"/>
    </row>
    <row r="227" spans="1:57" s="8" customFormat="1" ht="11.25">
      <c r="A227" s="28" t="s">
        <v>257</v>
      </c>
      <c r="B227" s="9" t="str">
        <f>"RAGASZTÓ STIFT"</f>
        <v>RAGASZTÓ STIFT</v>
      </c>
      <c r="C227" s="9" t="str">
        <f>"STANDARD"</f>
        <v>STANDARD</v>
      </c>
      <c r="D227" s="20" t="s">
        <v>19</v>
      </c>
      <c r="E227" s="4">
        <v>2</v>
      </c>
      <c r="F227" s="17"/>
      <c r="G227" s="4"/>
      <c r="H227" s="4"/>
      <c r="I227" s="4">
        <v>1</v>
      </c>
      <c r="J227" s="4">
        <v>1</v>
      </c>
      <c r="K227" s="4"/>
      <c r="L227" s="4"/>
      <c r="M227" s="4"/>
      <c r="N227" s="4"/>
      <c r="O227" s="4">
        <v>2</v>
      </c>
      <c r="P227" s="4"/>
      <c r="Q227" s="4"/>
      <c r="R227" s="4"/>
      <c r="S227" s="4"/>
      <c r="T227" s="4"/>
      <c r="U227" s="4">
        <v>1</v>
      </c>
      <c r="V227" s="4"/>
      <c r="W227" s="4">
        <v>1</v>
      </c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17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>
        <v>1</v>
      </c>
      <c r="AV227" s="4">
        <v>1</v>
      </c>
      <c r="AW227" s="4">
        <v>1</v>
      </c>
      <c r="AX227" s="4">
        <v>1</v>
      </c>
      <c r="AY227" s="4"/>
      <c r="AZ227" s="4"/>
      <c r="BA227" s="57">
        <f t="shared" si="10"/>
        <v>12</v>
      </c>
      <c r="BB227" s="58" t="s">
        <v>19</v>
      </c>
      <c r="BC227" s="65"/>
      <c r="BD227" s="73"/>
      <c r="BE227" s="53"/>
    </row>
    <row r="228" spans="1:57" s="8" customFormat="1" ht="11.25">
      <c r="A228" s="28" t="s">
        <v>258</v>
      </c>
      <c r="B228" s="9" t="str">
        <f>"RAGASZTÓ SZALAG (CELLUX)"</f>
        <v>RAGASZTÓ SZALAG (CELLUX)</v>
      </c>
      <c r="C228" s="9" t="str">
        <f>"KIS TEKERCS"</f>
        <v>KIS TEKERCS</v>
      </c>
      <c r="D228" s="20" t="s">
        <v>19</v>
      </c>
      <c r="E228" s="5">
        <v>10</v>
      </c>
      <c r="F228" s="17">
        <v>1</v>
      </c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17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7">
        <f t="shared" si="10"/>
        <v>11</v>
      </c>
      <c r="BB228" s="58" t="s">
        <v>19</v>
      </c>
      <c r="BC228" s="65"/>
      <c r="BD228" s="73"/>
      <c r="BE228" s="53"/>
    </row>
    <row r="229" spans="1:57" s="8" customFormat="1" ht="11.25" hidden="1">
      <c r="A229" s="28"/>
      <c r="B229" s="9" t="s">
        <v>14</v>
      </c>
      <c r="C229" s="9" t="str">
        <f>"051X038 MM"</f>
        <v>051X038 MM</v>
      </c>
      <c r="D229" s="20" t="s">
        <v>19</v>
      </c>
      <c r="E229" s="5"/>
      <c r="F229" s="1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17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7">
        <f aca="true" t="shared" si="11" ref="BA229:BA260">SUM(E229:AZ229)</f>
        <v>0</v>
      </c>
      <c r="BB229" s="58" t="s">
        <v>19</v>
      </c>
      <c r="BC229" s="65"/>
      <c r="BD229" s="73"/>
      <c r="BE229" s="53"/>
    </row>
    <row r="230" spans="1:57" s="8" customFormat="1" ht="11.25">
      <c r="A230" s="28" t="s">
        <v>259</v>
      </c>
      <c r="B230" s="9" t="str">
        <f>"RAGASZTÓ SZALAG (CELLUX)"</f>
        <v>RAGASZTÓ SZALAG (CELLUX)</v>
      </c>
      <c r="C230" s="9" t="str">
        <f>"KÖZEPES TEKERCS"</f>
        <v>KÖZEPES TEKERCS</v>
      </c>
      <c r="D230" s="20" t="s">
        <v>19</v>
      </c>
      <c r="E230" s="5"/>
      <c r="F230" s="17"/>
      <c r="G230" s="5"/>
      <c r="H230" s="5"/>
      <c r="I230" s="5">
        <v>3</v>
      </c>
      <c r="J230" s="5">
        <v>2</v>
      </c>
      <c r="K230" s="5"/>
      <c r="L230" s="5">
        <v>10</v>
      </c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17"/>
      <c r="AK230" s="5"/>
      <c r="AL230" s="5"/>
      <c r="AM230" s="5"/>
      <c r="AN230" s="5">
        <v>3</v>
      </c>
      <c r="AO230" s="5">
        <v>3</v>
      </c>
      <c r="AP230" s="5">
        <v>3</v>
      </c>
      <c r="AQ230" s="5">
        <v>3</v>
      </c>
      <c r="AR230" s="5"/>
      <c r="AS230" s="5"/>
      <c r="AT230" s="5"/>
      <c r="AU230" s="5"/>
      <c r="AV230" s="5"/>
      <c r="AW230" s="5"/>
      <c r="AX230" s="5"/>
      <c r="AY230" s="5"/>
      <c r="AZ230" s="5"/>
      <c r="BA230" s="57">
        <f t="shared" si="11"/>
        <v>27</v>
      </c>
      <c r="BB230" s="58" t="s">
        <v>19</v>
      </c>
      <c r="BC230" s="65"/>
      <c r="BD230" s="73"/>
      <c r="BE230" s="53"/>
    </row>
    <row r="231" spans="1:57" s="8" customFormat="1" ht="11.25" hidden="1">
      <c r="A231" s="28"/>
      <c r="B231" s="9" t="s">
        <v>15</v>
      </c>
      <c r="C231" s="9" t="str">
        <f>"127X075 MM"</f>
        <v>127X075 MM</v>
      </c>
      <c r="D231" s="20" t="s">
        <v>19</v>
      </c>
      <c r="E231" s="5"/>
      <c r="F231" s="1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17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7">
        <f t="shared" si="11"/>
        <v>0</v>
      </c>
      <c r="BB231" s="58" t="s">
        <v>19</v>
      </c>
      <c r="BC231" s="65"/>
      <c r="BD231" s="73"/>
      <c r="BE231" s="53"/>
    </row>
    <row r="232" spans="1:57" s="8" customFormat="1" ht="11.25" hidden="1">
      <c r="A232" s="28"/>
      <c r="B232" s="9" t="str">
        <f>"TÉPŐTÖMB (SZÍNES-CSAVART)"</f>
        <v>TÉPŐTÖMB (SZÍNES-CSAVART)</v>
      </c>
      <c r="C232" s="9" t="str">
        <f>"010X010 MM"</f>
        <v>010X010 MM</v>
      </c>
      <c r="D232" s="20" t="s">
        <v>19</v>
      </c>
      <c r="E232" s="5"/>
      <c r="F232" s="1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17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7">
        <f t="shared" si="11"/>
        <v>0</v>
      </c>
      <c r="BB232" s="58" t="s">
        <v>19</v>
      </c>
      <c r="BC232" s="65"/>
      <c r="BD232" s="73"/>
      <c r="BE232" s="53"/>
    </row>
    <row r="233" spans="1:57" s="8" customFormat="1" ht="11.25" hidden="1">
      <c r="A233" s="28"/>
      <c r="B233" s="9" t="str">
        <f>"TÉRKÉPTŰ"</f>
        <v>TÉRKÉPTŰ</v>
      </c>
      <c r="C233" s="9" t="str">
        <f>"SAKOTA"</f>
        <v>SAKOTA</v>
      </c>
      <c r="D233" s="20" t="s">
        <v>19</v>
      </c>
      <c r="E233" s="5"/>
      <c r="F233" s="1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17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7">
        <f t="shared" si="11"/>
        <v>0</v>
      </c>
      <c r="BB233" s="58" t="s">
        <v>19</v>
      </c>
      <c r="BC233" s="65"/>
      <c r="BD233" s="73"/>
      <c r="BE233" s="43"/>
    </row>
    <row r="234" spans="1:57" s="9" customFormat="1" ht="11.25" hidden="1">
      <c r="A234" s="28"/>
      <c r="B234" s="9" t="str">
        <f>"TÖLTŐTOLL PATRON"</f>
        <v>TÖLTŐTOLL PATRON</v>
      </c>
      <c r="C234" s="9" t="str">
        <f>"PAX"</f>
        <v>PAX</v>
      </c>
      <c r="D234" s="20" t="s">
        <v>19</v>
      </c>
      <c r="E234" s="4"/>
      <c r="F234" s="17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17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57">
        <f t="shared" si="11"/>
        <v>0</v>
      </c>
      <c r="BB234" s="58" t="s">
        <v>19</v>
      </c>
      <c r="BC234" s="65"/>
      <c r="BD234" s="73"/>
      <c r="BE234" s="43"/>
    </row>
    <row r="235" spans="1:57" s="9" customFormat="1" ht="11.25" hidden="1">
      <c r="A235" s="28"/>
      <c r="B235" s="9" t="str">
        <f>"TUSTINTA (ROTRING)"</f>
        <v>TUSTINTA (ROTRING)</v>
      </c>
      <c r="D235" s="20" t="s">
        <v>19</v>
      </c>
      <c r="E235" s="4"/>
      <c r="F235" s="17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17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57">
        <f t="shared" si="11"/>
        <v>0</v>
      </c>
      <c r="BB235" s="58" t="s">
        <v>19</v>
      </c>
      <c r="BC235" s="65"/>
      <c r="BD235" s="73"/>
      <c r="BE235" s="53"/>
    </row>
    <row r="236" spans="1:57" s="8" customFormat="1" ht="11.25" hidden="1">
      <c r="A236" s="28"/>
      <c r="B236" s="9" t="s">
        <v>16</v>
      </c>
      <c r="C236" s="9" t="str">
        <f>"DELI NO. 0327"</f>
        <v>DELI NO. 0327</v>
      </c>
      <c r="D236" s="20" t="s">
        <v>19</v>
      </c>
      <c r="E236" s="5"/>
      <c r="F236" s="1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17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7">
        <f t="shared" si="11"/>
        <v>0</v>
      </c>
      <c r="BB236" s="58" t="s">
        <v>19</v>
      </c>
      <c r="BC236" s="65"/>
      <c r="BD236" s="73"/>
      <c r="BE236" s="53"/>
    </row>
    <row r="237" spans="1:57" s="8" customFormat="1" ht="11.25">
      <c r="A237" s="28" t="s">
        <v>260</v>
      </c>
      <c r="B237" s="9" t="s">
        <v>34</v>
      </c>
      <c r="C237" s="9" t="s">
        <v>35</v>
      </c>
      <c r="D237" s="20" t="s">
        <v>19</v>
      </c>
      <c r="E237" s="5">
        <v>5</v>
      </c>
      <c r="F237" s="1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>
        <v>1</v>
      </c>
      <c r="V237" s="5"/>
      <c r="W237" s="5"/>
      <c r="X237" s="5">
        <v>3</v>
      </c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17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>
        <v>1</v>
      </c>
      <c r="AZ237" s="5"/>
      <c r="BA237" s="57">
        <f t="shared" si="11"/>
        <v>10</v>
      </c>
      <c r="BB237" s="58" t="s">
        <v>19</v>
      </c>
      <c r="BC237" s="65"/>
      <c r="BD237" s="73"/>
      <c r="BE237" s="53"/>
    </row>
    <row r="238" spans="1:57" s="8" customFormat="1" ht="11.25">
      <c r="A238" s="28" t="s">
        <v>261</v>
      </c>
      <c r="B238" s="9" t="s">
        <v>88</v>
      </c>
      <c r="C238" s="9" t="s">
        <v>89</v>
      </c>
      <c r="D238" s="20" t="s">
        <v>26</v>
      </c>
      <c r="E238" s="5">
        <v>2</v>
      </c>
      <c r="F238" s="17"/>
      <c r="G238" s="5"/>
      <c r="H238" s="5">
        <v>5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>
        <v>1</v>
      </c>
      <c r="X238" s="5">
        <v>4</v>
      </c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17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>
        <v>2</v>
      </c>
      <c r="BA238" s="57">
        <f t="shared" si="11"/>
        <v>14</v>
      </c>
      <c r="BB238" s="58" t="s">
        <v>26</v>
      </c>
      <c r="BC238" s="65"/>
      <c r="BD238" s="73"/>
      <c r="BE238" s="53"/>
    </row>
    <row r="239" spans="1:57" s="8" customFormat="1" ht="11.25">
      <c r="A239" s="28" t="s">
        <v>262</v>
      </c>
      <c r="B239" s="9" t="s">
        <v>113</v>
      </c>
      <c r="C239" s="9"/>
      <c r="D239" s="20" t="s">
        <v>19</v>
      </c>
      <c r="E239" s="5"/>
      <c r="F239" s="17"/>
      <c r="G239" s="5"/>
      <c r="H239" s="5"/>
      <c r="I239" s="5"/>
      <c r="J239" s="5"/>
      <c r="K239" s="5"/>
      <c r="L239" s="5">
        <v>1</v>
      </c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17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>
        <v>1</v>
      </c>
      <c r="AX239" s="5"/>
      <c r="AY239" s="5"/>
      <c r="AZ239" s="5"/>
      <c r="BA239" s="57">
        <f t="shared" si="11"/>
        <v>2</v>
      </c>
      <c r="BB239" s="58" t="s">
        <v>19</v>
      </c>
      <c r="BC239" s="65"/>
      <c r="BD239" s="73"/>
      <c r="BE239" s="53"/>
    </row>
    <row r="240" spans="1:57" s="8" customFormat="1" ht="11.25" hidden="1">
      <c r="A240" s="28"/>
      <c r="B240" s="9" t="s">
        <v>16</v>
      </c>
      <c r="C240" s="9" t="str">
        <f>"MAPED VIVO"</f>
        <v>MAPED VIVO</v>
      </c>
      <c r="D240" s="20"/>
      <c r="E240" s="5"/>
      <c r="F240" s="1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17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7">
        <f t="shared" si="11"/>
        <v>0</v>
      </c>
      <c r="BB240" s="58"/>
      <c r="BC240" s="65"/>
      <c r="BD240" s="73"/>
      <c r="BE240" s="53"/>
    </row>
    <row r="241" spans="1:57" s="8" customFormat="1" ht="11.25" hidden="1">
      <c r="A241" s="28"/>
      <c r="B241" s="9" t="s">
        <v>16</v>
      </c>
      <c r="C241" s="9" t="str">
        <f>"REXEL ACCO"</f>
        <v>REXEL ACCO</v>
      </c>
      <c r="D241" s="20"/>
      <c r="E241" s="5"/>
      <c r="F241" s="1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17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7">
        <f t="shared" si="11"/>
        <v>0</v>
      </c>
      <c r="BB241" s="58"/>
      <c r="BC241" s="65"/>
      <c r="BD241" s="73"/>
      <c r="BE241" s="53"/>
    </row>
    <row r="242" spans="1:57" s="8" customFormat="1" ht="11.25" hidden="1">
      <c r="A242" s="28"/>
      <c r="B242" s="9" t="s">
        <v>16</v>
      </c>
      <c r="C242" s="9" t="str">
        <f>"TRAPER"</f>
        <v>TRAPER</v>
      </c>
      <c r="D242" s="20"/>
      <c r="E242" s="5"/>
      <c r="F242" s="1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17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7">
        <f t="shared" si="11"/>
        <v>0</v>
      </c>
      <c r="BB242" s="58"/>
      <c r="BC242" s="65"/>
      <c r="BD242" s="73"/>
      <c r="BE242" s="53"/>
    </row>
    <row r="243" spans="1:57" s="8" customFormat="1" ht="11.25" hidden="1">
      <c r="A243" s="28"/>
      <c r="B243" s="9" t="s">
        <v>16</v>
      </c>
      <c r="C243" s="9" t="s">
        <v>17</v>
      </c>
      <c r="D243" s="20"/>
      <c r="E243" s="5"/>
      <c r="F243" s="1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17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7">
        <f t="shared" si="11"/>
        <v>0</v>
      </c>
      <c r="BB243" s="58"/>
      <c r="BC243" s="65"/>
      <c r="BD243" s="73"/>
      <c r="BE243" s="53"/>
    </row>
    <row r="244" spans="1:57" s="8" customFormat="1" ht="11.25" hidden="1">
      <c r="A244" s="28"/>
      <c r="B244" s="9" t="s">
        <v>18</v>
      </c>
      <c r="C244" s="9" t="s">
        <v>8</v>
      </c>
      <c r="D244" s="20"/>
      <c r="E244" s="5"/>
      <c r="F244" s="1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17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7">
        <f t="shared" si="11"/>
        <v>0</v>
      </c>
      <c r="BB244" s="58"/>
      <c r="BC244" s="65"/>
      <c r="BD244" s="73"/>
      <c r="BE244" s="53"/>
    </row>
    <row r="245" spans="1:57" s="8" customFormat="1" ht="11.25" hidden="1">
      <c r="A245" s="28"/>
      <c r="B245" s="9" t="s">
        <v>24</v>
      </c>
      <c r="C245" s="9" t="str">
        <f>"23/8"</f>
        <v>23/8</v>
      </c>
      <c r="D245" s="20"/>
      <c r="E245" s="5"/>
      <c r="F245" s="1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17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7">
        <f t="shared" si="11"/>
        <v>0</v>
      </c>
      <c r="BB245" s="58"/>
      <c r="BC245" s="65"/>
      <c r="BD245" s="73"/>
      <c r="BE245" s="53"/>
    </row>
    <row r="246" spans="1:57" s="8" customFormat="1" ht="11.25" hidden="1">
      <c r="A246" s="28"/>
      <c r="B246" s="9" t="s">
        <v>24</v>
      </c>
      <c r="C246" s="9" t="str">
        <f>"23/13"</f>
        <v>23/13</v>
      </c>
      <c r="D246" s="20"/>
      <c r="E246" s="5"/>
      <c r="F246" s="1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17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7">
        <f t="shared" si="11"/>
        <v>0</v>
      </c>
      <c r="BB246" s="58"/>
      <c r="BC246" s="65"/>
      <c r="BD246" s="73"/>
      <c r="BE246" s="53"/>
    </row>
    <row r="247" spans="1:57" s="8" customFormat="1" ht="11.25" hidden="1">
      <c r="A247" s="28"/>
      <c r="B247" s="9" t="s">
        <v>24</v>
      </c>
      <c r="C247" s="15">
        <v>14</v>
      </c>
      <c r="D247" s="20"/>
      <c r="E247" s="5"/>
      <c r="F247" s="1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17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7">
        <f t="shared" si="11"/>
        <v>0</v>
      </c>
      <c r="BB247" s="58"/>
      <c r="BC247" s="65"/>
      <c r="BD247" s="73"/>
      <c r="BE247" s="43"/>
    </row>
    <row r="248" spans="1:57" s="9" customFormat="1" ht="11.25" hidden="1">
      <c r="A248" s="28"/>
      <c r="B248" s="9" t="s">
        <v>24</v>
      </c>
      <c r="D248" s="20"/>
      <c r="E248" s="4"/>
      <c r="F248" s="17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17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57">
        <f t="shared" si="11"/>
        <v>0</v>
      </c>
      <c r="BB248" s="58"/>
      <c r="BC248" s="65"/>
      <c r="BD248" s="73"/>
      <c r="BE248" s="43"/>
    </row>
    <row r="249" spans="1:57" s="9" customFormat="1" ht="11.25" hidden="1">
      <c r="A249" s="28"/>
      <c r="B249" s="9" t="s">
        <v>24</v>
      </c>
      <c r="D249" s="20"/>
      <c r="E249" s="4"/>
      <c r="F249" s="17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17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57">
        <f t="shared" si="11"/>
        <v>0</v>
      </c>
      <c r="BB249" s="58"/>
      <c r="BC249" s="65"/>
      <c r="BD249" s="73"/>
      <c r="BE249" s="43"/>
    </row>
    <row r="250" spans="1:57" s="9" customFormat="1" ht="11.25" hidden="1">
      <c r="A250" s="28"/>
      <c r="B250" s="9" t="s">
        <v>24</v>
      </c>
      <c r="D250" s="20"/>
      <c r="E250" s="4"/>
      <c r="F250" s="17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17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57">
        <f t="shared" si="11"/>
        <v>0</v>
      </c>
      <c r="BB250" s="58"/>
      <c r="BC250" s="65"/>
      <c r="BD250" s="73"/>
      <c r="BE250" s="43"/>
    </row>
    <row r="251" spans="1:57" s="9" customFormat="1" ht="11.25" hidden="1">
      <c r="A251" s="28"/>
      <c r="B251" s="9" t="s">
        <v>24</v>
      </c>
      <c r="C251" s="9" t="str">
        <f>"A/4 25X4"</f>
        <v>A/4 25X4</v>
      </c>
      <c r="D251" s="20"/>
      <c r="E251" s="4"/>
      <c r="F251" s="17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17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57">
        <f t="shared" si="11"/>
        <v>0</v>
      </c>
      <c r="BB251" s="58"/>
      <c r="BC251" s="65"/>
      <c r="BD251" s="73"/>
      <c r="BE251" s="43"/>
    </row>
    <row r="252" spans="1:57" s="9" customFormat="1" ht="11.25" hidden="1">
      <c r="A252" s="28"/>
      <c r="B252" s="9" t="s">
        <v>24</v>
      </c>
      <c r="C252" s="9" t="str">
        <f>"25X2 V.VÁLL 71/V"</f>
        <v>25X2 V.VÁLL 71/V</v>
      </c>
      <c r="D252" s="20"/>
      <c r="E252" s="4"/>
      <c r="F252" s="17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17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57">
        <f t="shared" si="11"/>
        <v>0</v>
      </c>
      <c r="BB252" s="58"/>
      <c r="BC252" s="65"/>
      <c r="BD252" s="73"/>
      <c r="BE252" s="43"/>
    </row>
    <row r="253" spans="1:57" s="9" customFormat="1" ht="11.25" hidden="1">
      <c r="A253" s="28"/>
      <c r="B253" s="9" t="s">
        <v>24</v>
      </c>
      <c r="C253" s="9" t="str">
        <f>"PÁTRIA (C.3337-11)"</f>
        <v>PÁTRIA (C.3337-11)</v>
      </c>
      <c r="D253" s="20"/>
      <c r="E253" s="4"/>
      <c r="F253" s="17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17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57">
        <f t="shared" si="11"/>
        <v>0</v>
      </c>
      <c r="BB253" s="58"/>
      <c r="BC253" s="65"/>
      <c r="BD253" s="73"/>
      <c r="BE253" s="43"/>
    </row>
    <row r="254" spans="1:57" s="9" customFormat="1" ht="11.25" hidden="1">
      <c r="A254" s="28"/>
      <c r="B254" s="9" t="s">
        <v>24</v>
      </c>
      <c r="D254" s="20"/>
      <c r="E254" s="4"/>
      <c r="F254" s="17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17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57">
        <f t="shared" si="11"/>
        <v>0</v>
      </c>
      <c r="BB254" s="58"/>
      <c r="BC254" s="65"/>
      <c r="BD254" s="73"/>
      <c r="BE254" s="43"/>
    </row>
    <row r="255" spans="1:57" s="9" customFormat="1" ht="11.25" hidden="1">
      <c r="A255" s="28"/>
      <c r="B255" s="9" t="s">
        <v>24</v>
      </c>
      <c r="C255" s="9" t="str">
        <f>"A/4"</f>
        <v>A/4</v>
      </c>
      <c r="D255" s="20"/>
      <c r="E255" s="4"/>
      <c r="F255" s="17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17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57">
        <f t="shared" si="11"/>
        <v>0</v>
      </c>
      <c r="BB255" s="58"/>
      <c r="BC255" s="65"/>
      <c r="BD255" s="73"/>
      <c r="BE255" s="43"/>
    </row>
    <row r="256" spans="1:57" s="9" customFormat="1" ht="11.25" hidden="1">
      <c r="A256" s="28"/>
      <c r="B256" s="9" t="s">
        <v>24</v>
      </c>
      <c r="C256" s="9" t="str">
        <f>"DVV.1250/ÚJ A/5"</f>
        <v>DVV.1250/ÚJ A/5</v>
      </c>
      <c r="D256" s="20"/>
      <c r="E256" s="4"/>
      <c r="F256" s="17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17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57">
        <f t="shared" si="11"/>
        <v>0</v>
      </c>
      <c r="BB256" s="58"/>
      <c r="BC256" s="65"/>
      <c r="BD256" s="73"/>
      <c r="BE256" s="43"/>
    </row>
    <row r="257" spans="1:57" s="9" customFormat="1" ht="11.25" hidden="1">
      <c r="A257" s="28"/>
      <c r="B257" s="9" t="s">
        <v>24</v>
      </c>
      <c r="C257" s="9" t="s">
        <v>1</v>
      </c>
      <c r="D257" s="20"/>
      <c r="E257" s="4"/>
      <c r="F257" s="17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17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57">
        <f t="shared" si="11"/>
        <v>0</v>
      </c>
      <c r="BB257" s="58"/>
      <c r="BC257" s="65"/>
      <c r="BD257" s="73"/>
      <c r="BE257" s="43"/>
    </row>
    <row r="258" spans="1:57" s="9" customFormat="1" ht="11.25" hidden="1">
      <c r="A258" s="28"/>
      <c r="B258" s="9" t="s">
        <v>24</v>
      </c>
      <c r="D258" s="20"/>
      <c r="E258" s="4"/>
      <c r="F258" s="17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17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57">
        <f t="shared" si="11"/>
        <v>0</v>
      </c>
      <c r="BB258" s="58"/>
      <c r="BC258" s="65"/>
      <c r="BD258" s="73"/>
      <c r="BE258" s="43"/>
    </row>
    <row r="259" spans="1:57" s="9" customFormat="1" ht="11.25">
      <c r="A259" s="28" t="s">
        <v>263</v>
      </c>
      <c r="B259" s="9" t="s">
        <v>31</v>
      </c>
      <c r="C259" s="9" t="s">
        <v>52</v>
      </c>
      <c r="D259" s="20" t="s">
        <v>19</v>
      </c>
      <c r="E259" s="4"/>
      <c r="F259" s="17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17"/>
      <c r="AK259" s="4"/>
      <c r="AL259" s="4"/>
      <c r="AM259" s="4"/>
      <c r="AN259" s="4"/>
      <c r="AO259" s="4"/>
      <c r="AP259" s="4"/>
      <c r="AQ259" s="4"/>
      <c r="AR259" s="4">
        <v>1</v>
      </c>
      <c r="AS259" s="4">
        <v>1</v>
      </c>
      <c r="AT259" s="4"/>
      <c r="AU259" s="4"/>
      <c r="AV259" s="4"/>
      <c r="AW259" s="4"/>
      <c r="AX259" s="4"/>
      <c r="AY259" s="4"/>
      <c r="AZ259" s="4"/>
      <c r="BA259" s="57">
        <f t="shared" si="11"/>
        <v>2</v>
      </c>
      <c r="BB259" s="58" t="s">
        <v>19</v>
      </c>
      <c r="BC259" s="65"/>
      <c r="BD259" s="73"/>
      <c r="BE259" s="43"/>
    </row>
    <row r="260" spans="1:57" s="9" customFormat="1" ht="11.25">
      <c r="A260" s="28" t="s">
        <v>264</v>
      </c>
      <c r="B260" s="9" t="s">
        <v>31</v>
      </c>
      <c r="C260" s="9" t="s">
        <v>32</v>
      </c>
      <c r="D260" s="20" t="s">
        <v>19</v>
      </c>
      <c r="E260" s="4"/>
      <c r="F260" s="17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17"/>
      <c r="AK260" s="4"/>
      <c r="AL260" s="4"/>
      <c r="AM260" s="4"/>
      <c r="AN260" s="4"/>
      <c r="AO260" s="4"/>
      <c r="AP260" s="4"/>
      <c r="AQ260" s="4"/>
      <c r="AR260" s="4">
        <v>1</v>
      </c>
      <c r="AS260" s="4">
        <v>1</v>
      </c>
      <c r="AT260" s="4"/>
      <c r="AU260" s="4"/>
      <c r="AV260" s="4"/>
      <c r="AW260" s="4"/>
      <c r="AX260" s="4"/>
      <c r="AY260" s="4"/>
      <c r="AZ260" s="4"/>
      <c r="BA260" s="57">
        <f t="shared" si="11"/>
        <v>2</v>
      </c>
      <c r="BB260" s="58" t="s">
        <v>19</v>
      </c>
      <c r="BC260" s="65"/>
      <c r="BD260" s="73"/>
      <c r="BE260" s="43"/>
    </row>
    <row r="261" spans="1:57" s="9" customFormat="1" ht="11.25">
      <c r="A261" s="28" t="s">
        <v>265</v>
      </c>
      <c r="B261" s="9" t="s">
        <v>31</v>
      </c>
      <c r="C261" s="9" t="s">
        <v>150</v>
      </c>
      <c r="D261" s="20" t="s">
        <v>19</v>
      </c>
      <c r="E261" s="4"/>
      <c r="F261" s="17"/>
      <c r="G261" s="4"/>
      <c r="H261" s="4"/>
      <c r="I261" s="4"/>
      <c r="J261" s="4"/>
      <c r="K261" s="4"/>
      <c r="L261" s="4"/>
      <c r="M261" s="4"/>
      <c r="N261" s="4"/>
      <c r="O261" s="4">
        <v>3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17"/>
      <c r="AK261" s="4"/>
      <c r="AL261" s="4"/>
      <c r="AM261" s="4"/>
      <c r="AN261" s="4"/>
      <c r="AO261" s="4"/>
      <c r="AP261" s="4"/>
      <c r="AQ261" s="4"/>
      <c r="AR261" s="4">
        <v>1</v>
      </c>
      <c r="AS261" s="4">
        <v>1</v>
      </c>
      <c r="AT261" s="4"/>
      <c r="AU261" s="4"/>
      <c r="AV261" s="4"/>
      <c r="AW261" s="4"/>
      <c r="AX261" s="4"/>
      <c r="AY261" s="4"/>
      <c r="AZ261" s="4"/>
      <c r="BA261" s="57">
        <f aca="true" t="shared" si="12" ref="BA261:BA292">SUM(E261:AZ261)</f>
        <v>5</v>
      </c>
      <c r="BB261" s="58" t="s">
        <v>19</v>
      </c>
      <c r="BC261" s="65"/>
      <c r="BD261" s="73"/>
      <c r="BE261" s="43"/>
    </row>
    <row r="262" spans="1:57" s="8" customFormat="1" ht="11.25">
      <c r="A262" s="28" t="s">
        <v>266</v>
      </c>
      <c r="B262" s="9" t="s">
        <v>31</v>
      </c>
      <c r="C262" s="9" t="s">
        <v>85</v>
      </c>
      <c r="D262" s="20" t="s">
        <v>19</v>
      </c>
      <c r="E262" s="5"/>
      <c r="F262" s="1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17"/>
      <c r="AK262" s="5"/>
      <c r="AL262" s="5"/>
      <c r="AM262" s="5"/>
      <c r="AN262" s="5"/>
      <c r="AO262" s="5"/>
      <c r="AP262" s="5"/>
      <c r="AQ262" s="5"/>
      <c r="AR262" s="5">
        <v>1</v>
      </c>
      <c r="AS262" s="5">
        <v>1</v>
      </c>
      <c r="AT262" s="5"/>
      <c r="AU262" s="5"/>
      <c r="AV262" s="5"/>
      <c r="AW262" s="5"/>
      <c r="AX262" s="5"/>
      <c r="AY262" s="5"/>
      <c r="AZ262" s="5"/>
      <c r="BA262" s="57">
        <f t="shared" si="12"/>
        <v>2</v>
      </c>
      <c r="BB262" s="58" t="s">
        <v>19</v>
      </c>
      <c r="BC262" s="65"/>
      <c r="BD262" s="73"/>
      <c r="BE262" s="53"/>
    </row>
    <row r="263" spans="1:57" s="8" customFormat="1" ht="11.25">
      <c r="A263" s="28" t="s">
        <v>267</v>
      </c>
      <c r="B263" s="9" t="s">
        <v>40</v>
      </c>
      <c r="C263" s="9" t="s">
        <v>42</v>
      </c>
      <c r="D263" s="20" t="s">
        <v>19</v>
      </c>
      <c r="E263" s="5">
        <v>5</v>
      </c>
      <c r="F263" s="17">
        <v>1</v>
      </c>
      <c r="G263" s="5"/>
      <c r="H263" s="5"/>
      <c r="I263" s="5"/>
      <c r="J263" s="5"/>
      <c r="K263" s="5"/>
      <c r="L263" s="5"/>
      <c r="M263" s="5"/>
      <c r="N263" s="5"/>
      <c r="O263" s="5">
        <v>3</v>
      </c>
      <c r="P263" s="5"/>
      <c r="Q263" s="4"/>
      <c r="R263" s="4">
        <v>1</v>
      </c>
      <c r="S263" s="4"/>
      <c r="T263" s="4"/>
      <c r="U263" s="4"/>
      <c r="V263" s="5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5"/>
      <c r="AJ263" s="17"/>
      <c r="AK263" s="5"/>
      <c r="AL263" s="5"/>
      <c r="AM263" s="5"/>
      <c r="AN263" s="5"/>
      <c r="AO263" s="5"/>
      <c r="AP263" s="5"/>
      <c r="AQ263" s="5">
        <v>5</v>
      </c>
      <c r="AR263" s="5"/>
      <c r="AS263" s="5"/>
      <c r="AT263" s="5"/>
      <c r="AU263" s="5"/>
      <c r="AV263" s="5"/>
      <c r="AW263" s="5"/>
      <c r="AX263" s="5"/>
      <c r="AY263" s="5"/>
      <c r="AZ263" s="5"/>
      <c r="BA263" s="57">
        <f t="shared" si="12"/>
        <v>15</v>
      </c>
      <c r="BB263" s="58" t="s">
        <v>19</v>
      </c>
      <c r="BC263" s="65"/>
      <c r="BD263" s="73"/>
      <c r="BE263" s="53"/>
    </row>
    <row r="264" spans="1:57" s="8" customFormat="1" ht="11.25">
      <c r="A264" s="28" t="s">
        <v>268</v>
      </c>
      <c r="B264" s="9" t="s">
        <v>40</v>
      </c>
      <c r="C264" s="9" t="s">
        <v>44</v>
      </c>
      <c r="D264" s="20" t="s">
        <v>19</v>
      </c>
      <c r="E264" s="5">
        <v>5</v>
      </c>
      <c r="F264" s="1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4"/>
      <c r="R264" s="4"/>
      <c r="S264" s="4"/>
      <c r="T264" s="4"/>
      <c r="U264" s="4">
        <v>1</v>
      </c>
      <c r="V264" s="5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5"/>
      <c r="AJ264" s="17"/>
      <c r="AK264" s="5"/>
      <c r="AL264" s="5"/>
      <c r="AM264" s="5"/>
      <c r="AN264" s="5"/>
      <c r="AO264" s="5"/>
      <c r="AP264" s="5"/>
      <c r="AQ264" s="5">
        <v>5</v>
      </c>
      <c r="AR264" s="5"/>
      <c r="AS264" s="5"/>
      <c r="AT264" s="5"/>
      <c r="AU264" s="5"/>
      <c r="AV264" s="5"/>
      <c r="AW264" s="5"/>
      <c r="AX264" s="5"/>
      <c r="AY264" s="5"/>
      <c r="AZ264" s="5"/>
      <c r="BA264" s="57">
        <f t="shared" si="12"/>
        <v>11</v>
      </c>
      <c r="BB264" s="58" t="s">
        <v>19</v>
      </c>
      <c r="BC264" s="65"/>
      <c r="BD264" s="73"/>
      <c r="BE264" s="53"/>
    </row>
    <row r="265" spans="1:57" s="8" customFormat="1" ht="11.25">
      <c r="A265" s="28" t="s">
        <v>269</v>
      </c>
      <c r="B265" s="9" t="s">
        <v>40</v>
      </c>
      <c r="C265" s="9" t="s">
        <v>43</v>
      </c>
      <c r="D265" s="20" t="s">
        <v>19</v>
      </c>
      <c r="E265" s="5"/>
      <c r="F265" s="1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4"/>
      <c r="R265" s="4">
        <v>1</v>
      </c>
      <c r="S265" s="4"/>
      <c r="T265" s="4"/>
      <c r="U265" s="4">
        <v>1</v>
      </c>
      <c r="V265" s="5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5"/>
      <c r="AJ265" s="17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7">
        <f t="shared" si="12"/>
        <v>2</v>
      </c>
      <c r="BB265" s="58" t="s">
        <v>19</v>
      </c>
      <c r="BC265" s="65"/>
      <c r="BD265" s="73"/>
      <c r="BE265" s="53"/>
    </row>
    <row r="266" spans="1:57" s="8" customFormat="1" ht="11.25">
      <c r="A266" s="28" t="s">
        <v>270</v>
      </c>
      <c r="B266" s="9" t="s">
        <v>40</v>
      </c>
      <c r="C266" s="9" t="s">
        <v>41</v>
      </c>
      <c r="D266" s="20" t="s">
        <v>19</v>
      </c>
      <c r="E266" s="5">
        <v>5</v>
      </c>
      <c r="F266" s="1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17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7">
        <f t="shared" si="12"/>
        <v>5</v>
      </c>
      <c r="BB266" s="58" t="s">
        <v>19</v>
      </c>
      <c r="BC266" s="65"/>
      <c r="BD266" s="73"/>
      <c r="BE266" s="53"/>
    </row>
    <row r="267" spans="1:57" s="9" customFormat="1" ht="11.25">
      <c r="A267" s="28" t="s">
        <v>271</v>
      </c>
      <c r="B267" s="9" t="s">
        <v>2</v>
      </c>
      <c r="C267" s="9" t="s">
        <v>3</v>
      </c>
      <c r="D267" s="20" t="s">
        <v>19</v>
      </c>
      <c r="E267" s="4">
        <v>5</v>
      </c>
      <c r="F267" s="17">
        <v>1</v>
      </c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17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57">
        <f t="shared" si="12"/>
        <v>6</v>
      </c>
      <c r="BB267" s="58" t="s">
        <v>19</v>
      </c>
      <c r="BC267" s="65"/>
      <c r="BD267" s="73"/>
      <c r="BE267" s="43"/>
    </row>
    <row r="268" spans="1:57" s="9" customFormat="1" ht="11.25">
      <c r="A268" s="28" t="s">
        <v>272</v>
      </c>
      <c r="B268" s="9" t="s">
        <v>2</v>
      </c>
      <c r="C268" s="9" t="s">
        <v>6</v>
      </c>
      <c r="D268" s="20" t="s">
        <v>19</v>
      </c>
      <c r="E268" s="4">
        <v>5</v>
      </c>
      <c r="F268" s="17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17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57">
        <f t="shared" si="12"/>
        <v>5</v>
      </c>
      <c r="BB268" s="58" t="s">
        <v>19</v>
      </c>
      <c r="BC268" s="65"/>
      <c r="BD268" s="73"/>
      <c r="BE268" s="43"/>
    </row>
    <row r="269" spans="1:57" s="9" customFormat="1" ht="11.25">
      <c r="A269" s="28" t="s">
        <v>273</v>
      </c>
      <c r="B269" s="9" t="s">
        <v>2</v>
      </c>
      <c r="C269" s="9" t="s">
        <v>4</v>
      </c>
      <c r="D269" s="20" t="s">
        <v>19</v>
      </c>
      <c r="E269" s="4"/>
      <c r="F269" s="17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>
        <v>1</v>
      </c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17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57">
        <f t="shared" si="12"/>
        <v>1</v>
      </c>
      <c r="BB269" s="58" t="s">
        <v>19</v>
      </c>
      <c r="BC269" s="65"/>
      <c r="BD269" s="73"/>
      <c r="BE269" s="43"/>
    </row>
    <row r="270" spans="1:57" s="9" customFormat="1" ht="11.25">
      <c r="A270" s="28" t="s">
        <v>274</v>
      </c>
      <c r="B270" s="9" t="s">
        <v>2</v>
      </c>
      <c r="C270" s="9" t="s">
        <v>151</v>
      </c>
      <c r="D270" s="20" t="s">
        <v>19</v>
      </c>
      <c r="E270" s="4">
        <v>5</v>
      </c>
      <c r="F270" s="17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17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57">
        <f t="shared" si="12"/>
        <v>5</v>
      </c>
      <c r="BB270" s="58" t="s">
        <v>19</v>
      </c>
      <c r="BC270" s="65"/>
      <c r="BD270" s="73"/>
      <c r="BE270" s="43"/>
    </row>
    <row r="271" spans="1:57" s="9" customFormat="1" ht="11.25">
      <c r="A271" s="28" t="s">
        <v>275</v>
      </c>
      <c r="B271" s="9" t="s">
        <v>2</v>
      </c>
      <c r="C271" s="9" t="s">
        <v>56</v>
      </c>
      <c r="D271" s="20" t="s">
        <v>19</v>
      </c>
      <c r="E271" s="4">
        <v>5</v>
      </c>
      <c r="F271" s="17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17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57">
        <f t="shared" si="12"/>
        <v>5</v>
      </c>
      <c r="BB271" s="58" t="s">
        <v>19</v>
      </c>
      <c r="BC271" s="65"/>
      <c r="BD271" s="73"/>
      <c r="BE271" s="43"/>
    </row>
    <row r="272" spans="1:57" s="9" customFormat="1" ht="11.25">
      <c r="A272" s="28" t="s">
        <v>276</v>
      </c>
      <c r="B272" s="9" t="s">
        <v>152</v>
      </c>
      <c r="C272" s="9" t="s">
        <v>10</v>
      </c>
      <c r="D272" s="20" t="s">
        <v>19</v>
      </c>
      <c r="E272" s="4"/>
      <c r="F272" s="17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17"/>
      <c r="AK272" s="4"/>
      <c r="AL272" s="4"/>
      <c r="AM272" s="4"/>
      <c r="AN272" s="4"/>
      <c r="AO272" s="4"/>
      <c r="AP272" s="4"/>
      <c r="AQ272" s="4"/>
      <c r="AR272" s="4">
        <v>1</v>
      </c>
      <c r="AS272" s="4">
        <v>1</v>
      </c>
      <c r="AT272" s="4"/>
      <c r="AU272" s="4"/>
      <c r="AV272" s="4"/>
      <c r="AW272" s="4"/>
      <c r="AX272" s="4"/>
      <c r="AY272" s="4"/>
      <c r="AZ272" s="4"/>
      <c r="BA272" s="57">
        <f t="shared" si="12"/>
        <v>2</v>
      </c>
      <c r="BB272" s="58" t="s">
        <v>19</v>
      </c>
      <c r="BC272" s="65"/>
      <c r="BD272" s="73"/>
      <c r="BE272" s="43"/>
    </row>
    <row r="273" spans="1:57" s="9" customFormat="1" ht="11.25">
      <c r="A273" s="28" t="s">
        <v>277</v>
      </c>
      <c r="B273" s="9" t="s">
        <v>84</v>
      </c>
      <c r="D273" s="20" t="s">
        <v>19</v>
      </c>
      <c r="E273" s="4"/>
      <c r="F273" s="17">
        <v>5</v>
      </c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17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57">
        <f t="shared" si="12"/>
        <v>5</v>
      </c>
      <c r="BB273" s="58" t="s">
        <v>19</v>
      </c>
      <c r="BC273" s="65"/>
      <c r="BD273" s="73"/>
      <c r="BE273" s="43"/>
    </row>
    <row r="274" spans="1:57" s="9" customFormat="1" ht="11.25">
      <c r="A274" s="28" t="s">
        <v>278</v>
      </c>
      <c r="B274" s="9" t="s">
        <v>72</v>
      </c>
      <c r="C274" s="9" t="s">
        <v>10</v>
      </c>
      <c r="D274" s="20" t="s">
        <v>19</v>
      </c>
      <c r="E274" s="4"/>
      <c r="F274" s="17"/>
      <c r="G274" s="4"/>
      <c r="H274" s="4"/>
      <c r="I274" s="4"/>
      <c r="J274" s="4"/>
      <c r="K274" s="4"/>
      <c r="L274" s="4"/>
      <c r="M274" s="4"/>
      <c r="N274" s="4"/>
      <c r="O274" s="4">
        <v>4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17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57">
        <f t="shared" si="12"/>
        <v>4</v>
      </c>
      <c r="BB274" s="58" t="s">
        <v>19</v>
      </c>
      <c r="BC274" s="65"/>
      <c r="BD274" s="73"/>
      <c r="BE274" s="43"/>
    </row>
    <row r="275" spans="1:57" s="9" customFormat="1" ht="11.25">
      <c r="A275" s="28" t="s">
        <v>279</v>
      </c>
      <c r="B275" s="9" t="s">
        <v>72</v>
      </c>
      <c r="C275" s="9" t="s">
        <v>11</v>
      </c>
      <c r="D275" s="20" t="s">
        <v>19</v>
      </c>
      <c r="E275" s="4"/>
      <c r="F275" s="17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>
        <v>1</v>
      </c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17"/>
      <c r="AK275" s="4"/>
      <c r="AL275" s="4"/>
      <c r="AM275" s="4"/>
      <c r="AN275" s="4"/>
      <c r="AO275" s="4"/>
      <c r="AP275" s="4"/>
      <c r="AQ275" s="4"/>
      <c r="AR275" s="4">
        <v>1</v>
      </c>
      <c r="AS275" s="4">
        <v>1</v>
      </c>
      <c r="AT275" s="4"/>
      <c r="AU275" s="4"/>
      <c r="AV275" s="4"/>
      <c r="AW275" s="4"/>
      <c r="AX275" s="4"/>
      <c r="AY275" s="4"/>
      <c r="AZ275" s="4"/>
      <c r="BA275" s="57">
        <f t="shared" si="12"/>
        <v>3</v>
      </c>
      <c r="BB275" s="58" t="s">
        <v>19</v>
      </c>
      <c r="BC275" s="65"/>
      <c r="BD275" s="73"/>
      <c r="BE275" s="53"/>
    </row>
    <row r="276" spans="1:57" s="9" customFormat="1" ht="11.25">
      <c r="A276" s="28" t="s">
        <v>280</v>
      </c>
      <c r="B276" s="9" t="s">
        <v>72</v>
      </c>
      <c r="C276" s="9" t="s">
        <v>9</v>
      </c>
      <c r="D276" s="20" t="s">
        <v>19</v>
      </c>
      <c r="E276" s="4"/>
      <c r="F276" s="17"/>
      <c r="G276" s="4"/>
      <c r="H276" s="4"/>
      <c r="I276" s="4"/>
      <c r="J276" s="4"/>
      <c r="K276" s="4"/>
      <c r="L276" s="4"/>
      <c r="M276" s="4"/>
      <c r="N276" s="4"/>
      <c r="O276" s="4">
        <v>4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17"/>
      <c r="AK276" s="4"/>
      <c r="AL276" s="4"/>
      <c r="AM276" s="4"/>
      <c r="AN276" s="4"/>
      <c r="AO276" s="4"/>
      <c r="AP276" s="4"/>
      <c r="AQ276" s="4"/>
      <c r="AR276" s="4">
        <v>1</v>
      </c>
      <c r="AS276" s="4">
        <v>1</v>
      </c>
      <c r="AT276" s="4"/>
      <c r="AU276" s="4"/>
      <c r="AV276" s="4"/>
      <c r="AW276" s="4"/>
      <c r="AX276" s="4"/>
      <c r="AY276" s="4"/>
      <c r="AZ276" s="4"/>
      <c r="BA276" s="57">
        <f t="shared" si="12"/>
        <v>6</v>
      </c>
      <c r="BB276" s="58" t="s">
        <v>19</v>
      </c>
      <c r="BC276" s="65"/>
      <c r="BD276" s="73"/>
      <c r="BE276" s="43"/>
    </row>
    <row r="277" spans="1:57" s="9" customFormat="1" ht="11.25">
      <c r="A277" s="28" t="s">
        <v>281</v>
      </c>
      <c r="B277" s="9" t="s">
        <v>72</v>
      </c>
      <c r="C277" s="9" t="s">
        <v>167</v>
      </c>
      <c r="D277" s="20" t="s">
        <v>19</v>
      </c>
      <c r="E277" s="4"/>
      <c r="F277" s="17"/>
      <c r="G277" s="4"/>
      <c r="H277" s="4"/>
      <c r="I277" s="4"/>
      <c r="J277" s="4"/>
      <c r="K277" s="4"/>
      <c r="L277" s="4"/>
      <c r="M277" s="4"/>
      <c r="N277" s="4"/>
      <c r="O277" s="4">
        <v>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17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57">
        <f t="shared" si="12"/>
        <v>4</v>
      </c>
      <c r="BB277" s="58" t="s">
        <v>19</v>
      </c>
      <c r="BC277" s="65"/>
      <c r="BD277" s="73"/>
      <c r="BE277" s="43"/>
    </row>
    <row r="278" spans="1:57" s="8" customFormat="1" ht="11.25">
      <c r="A278" s="28" t="s">
        <v>282</v>
      </c>
      <c r="B278" s="9" t="s">
        <v>72</v>
      </c>
      <c r="C278" s="9" t="s">
        <v>112</v>
      </c>
      <c r="D278" s="20" t="s">
        <v>19</v>
      </c>
      <c r="E278" s="4"/>
      <c r="F278" s="17"/>
      <c r="G278" s="4"/>
      <c r="H278" s="4"/>
      <c r="I278" s="4"/>
      <c r="J278" s="4"/>
      <c r="K278" s="4"/>
      <c r="L278" s="4"/>
      <c r="M278" s="4"/>
      <c r="N278" s="4"/>
      <c r="O278" s="4">
        <v>4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17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57">
        <f t="shared" si="12"/>
        <v>4</v>
      </c>
      <c r="BB278" s="58" t="s">
        <v>19</v>
      </c>
      <c r="BC278" s="65"/>
      <c r="BD278" s="73"/>
      <c r="BE278" s="53"/>
    </row>
    <row r="279" spans="1:57" s="8" customFormat="1" ht="11.25">
      <c r="A279" s="28" t="s">
        <v>283</v>
      </c>
      <c r="B279" s="9" t="str">
        <f>"TÉPŐTÖMB (FEHÉR)"</f>
        <v>TÉPŐTÖMB (FEHÉR)</v>
      </c>
      <c r="C279" s="9" t="str">
        <f>"100X100 MM"</f>
        <v>100X100 MM</v>
      </c>
      <c r="D279" s="20" t="s">
        <v>19</v>
      </c>
      <c r="E279" s="5">
        <v>4</v>
      </c>
      <c r="F279" s="17">
        <v>1</v>
      </c>
      <c r="G279" s="5"/>
      <c r="H279" s="5"/>
      <c r="I279" s="5">
        <v>3</v>
      </c>
      <c r="J279" s="5">
        <v>3</v>
      </c>
      <c r="K279" s="5"/>
      <c r="L279" s="5"/>
      <c r="M279" s="5"/>
      <c r="N279" s="5"/>
      <c r="O279" s="5">
        <v>3</v>
      </c>
      <c r="P279" s="5">
        <v>1</v>
      </c>
      <c r="Q279" s="5"/>
      <c r="R279" s="5"/>
      <c r="S279" s="5"/>
      <c r="T279" s="5"/>
      <c r="U279" s="5">
        <v>1</v>
      </c>
      <c r="V279" s="5"/>
      <c r="W279" s="5"/>
      <c r="X279" s="5"/>
      <c r="Y279" s="5">
        <v>1</v>
      </c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17"/>
      <c r="AK279" s="5"/>
      <c r="AL279" s="5"/>
      <c r="AM279" s="5"/>
      <c r="AN279" s="5">
        <v>3</v>
      </c>
      <c r="AO279" s="5">
        <v>3</v>
      </c>
      <c r="AP279" s="5">
        <v>3</v>
      </c>
      <c r="AQ279" s="5">
        <v>3</v>
      </c>
      <c r="AR279" s="5"/>
      <c r="AS279" s="5"/>
      <c r="AT279" s="5">
        <v>1</v>
      </c>
      <c r="AU279" s="5"/>
      <c r="AV279" s="5"/>
      <c r="AW279" s="5"/>
      <c r="AX279" s="5"/>
      <c r="AY279" s="5"/>
      <c r="AZ279" s="5"/>
      <c r="BA279" s="57">
        <f t="shared" si="12"/>
        <v>30</v>
      </c>
      <c r="BB279" s="58" t="s">
        <v>19</v>
      </c>
      <c r="BC279" s="65"/>
      <c r="BD279" s="73"/>
      <c r="BE279" s="53"/>
    </row>
    <row r="280" spans="1:57" s="8" customFormat="1" ht="11.25">
      <c r="A280" s="28" t="s">
        <v>284</v>
      </c>
      <c r="B280" s="9" t="s">
        <v>14</v>
      </c>
      <c r="C280" s="9" t="str">
        <f>"050X040 MM"</f>
        <v>050X040 MM</v>
      </c>
      <c r="D280" s="20" t="s">
        <v>19</v>
      </c>
      <c r="E280" s="5"/>
      <c r="F280" s="1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v>1</v>
      </c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17"/>
      <c r="AK280" s="5"/>
      <c r="AL280" s="5"/>
      <c r="AM280" s="5"/>
      <c r="AN280" s="5"/>
      <c r="AO280" s="5"/>
      <c r="AP280" s="5"/>
      <c r="AQ280" s="5"/>
      <c r="AR280" s="5"/>
      <c r="AS280" s="5"/>
      <c r="AT280" s="5">
        <v>3</v>
      </c>
      <c r="AU280" s="5"/>
      <c r="AV280" s="5"/>
      <c r="AW280" s="5"/>
      <c r="AX280" s="5"/>
      <c r="AY280" s="5"/>
      <c r="AZ280" s="5"/>
      <c r="BA280" s="57">
        <f t="shared" si="12"/>
        <v>4</v>
      </c>
      <c r="BB280" s="58" t="s">
        <v>19</v>
      </c>
      <c r="BC280" s="65"/>
      <c r="BD280" s="73"/>
      <c r="BE280" s="53"/>
    </row>
    <row r="281" spans="1:57" s="8" customFormat="1" ht="11.25">
      <c r="A281" s="28" t="s">
        <v>285</v>
      </c>
      <c r="B281" s="9" t="s">
        <v>14</v>
      </c>
      <c r="C281" s="9" t="str">
        <f>"075X075 MM"</f>
        <v>075X075 MM</v>
      </c>
      <c r="D281" s="20" t="s">
        <v>19</v>
      </c>
      <c r="E281" s="5"/>
      <c r="F281" s="17"/>
      <c r="G281" s="5"/>
      <c r="H281" s="5"/>
      <c r="I281" s="5"/>
      <c r="J281" s="5"/>
      <c r="K281" s="5"/>
      <c r="L281" s="5"/>
      <c r="M281" s="5"/>
      <c r="N281" s="5"/>
      <c r="O281" s="5">
        <v>5</v>
      </c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17"/>
      <c r="AK281" s="5"/>
      <c r="AL281" s="5"/>
      <c r="AM281" s="5"/>
      <c r="AN281" s="5"/>
      <c r="AO281" s="5"/>
      <c r="AP281" s="5"/>
      <c r="AQ281" s="5"/>
      <c r="AR281" s="5"/>
      <c r="AS281" s="5"/>
      <c r="AT281" s="5">
        <v>3</v>
      </c>
      <c r="AU281" s="5"/>
      <c r="AV281" s="5"/>
      <c r="AW281" s="5"/>
      <c r="AX281" s="5"/>
      <c r="AY281" s="5"/>
      <c r="AZ281" s="5"/>
      <c r="BA281" s="57">
        <f t="shared" si="12"/>
        <v>8</v>
      </c>
      <c r="BB281" s="58" t="s">
        <v>19</v>
      </c>
      <c r="BC281" s="65"/>
      <c r="BD281" s="73"/>
      <c r="BE281" s="53"/>
    </row>
    <row r="282" spans="1:57" s="8" customFormat="1" ht="11.25">
      <c r="A282" s="28" t="s">
        <v>286</v>
      </c>
      <c r="B282" s="9" t="s">
        <v>15</v>
      </c>
      <c r="C282" s="9" t="s">
        <v>47</v>
      </c>
      <c r="D282" s="20" t="s">
        <v>19</v>
      </c>
      <c r="E282" s="5"/>
      <c r="F282" s="1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>
        <v>1</v>
      </c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17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>
        <v>1</v>
      </c>
      <c r="AY282" s="5"/>
      <c r="AZ282" s="5"/>
      <c r="BA282" s="57">
        <f t="shared" si="12"/>
        <v>2</v>
      </c>
      <c r="BB282" s="58" t="s">
        <v>19</v>
      </c>
      <c r="BC282" s="65"/>
      <c r="BD282" s="73"/>
      <c r="BE282" s="53"/>
    </row>
    <row r="283" spans="1:57" s="9" customFormat="1" ht="11.25">
      <c r="A283" s="28" t="s">
        <v>287</v>
      </c>
      <c r="B283" s="9" t="s">
        <v>75</v>
      </c>
      <c r="C283" s="9" t="s">
        <v>46</v>
      </c>
      <c r="D283" s="20" t="s">
        <v>19</v>
      </c>
      <c r="E283" s="5"/>
      <c r="F283" s="1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>
        <v>1</v>
      </c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17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7">
        <f t="shared" si="12"/>
        <v>1</v>
      </c>
      <c r="BB283" s="58" t="s">
        <v>19</v>
      </c>
      <c r="BC283" s="65"/>
      <c r="BD283" s="73"/>
      <c r="BE283" s="43"/>
    </row>
    <row r="284" spans="1:57" s="8" customFormat="1" ht="11.25">
      <c r="A284" s="28" t="s">
        <v>288</v>
      </c>
      <c r="B284" s="9" t="s">
        <v>24</v>
      </c>
      <c r="C284" s="9" t="s">
        <v>45</v>
      </c>
      <c r="D284" s="20" t="s">
        <v>25</v>
      </c>
      <c r="E284" s="4">
        <v>2</v>
      </c>
      <c r="F284" s="17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>
        <v>1</v>
      </c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17"/>
      <c r="AK284" s="4"/>
      <c r="AL284" s="4"/>
      <c r="AM284" s="4"/>
      <c r="AN284" s="4"/>
      <c r="AO284" s="4"/>
      <c r="AP284" s="4"/>
      <c r="AQ284" s="4"/>
      <c r="AR284" s="4">
        <v>2</v>
      </c>
      <c r="AS284" s="4">
        <v>2</v>
      </c>
      <c r="AT284" s="4"/>
      <c r="AU284" s="4"/>
      <c r="AV284" s="4"/>
      <c r="AW284" s="4"/>
      <c r="AX284" s="4"/>
      <c r="AY284" s="5"/>
      <c r="AZ284" s="4"/>
      <c r="BA284" s="57">
        <f t="shared" si="12"/>
        <v>7</v>
      </c>
      <c r="BB284" s="58" t="s">
        <v>25</v>
      </c>
      <c r="BC284" s="65"/>
      <c r="BD284" s="73"/>
      <c r="BE284" s="53"/>
    </row>
    <row r="285" spans="1:57" s="8" customFormat="1" ht="11.25">
      <c r="A285" s="28" t="s">
        <v>289</v>
      </c>
      <c r="B285" s="9" t="s">
        <v>24</v>
      </c>
      <c r="C285" s="9" t="s">
        <v>7</v>
      </c>
      <c r="D285" s="20" t="s">
        <v>25</v>
      </c>
      <c r="E285" s="5">
        <v>2</v>
      </c>
      <c r="F285" s="17">
        <v>1</v>
      </c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>
        <v>1</v>
      </c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17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>
        <v>4</v>
      </c>
      <c r="BA285" s="57">
        <f t="shared" si="12"/>
        <v>8</v>
      </c>
      <c r="BB285" s="58" t="s">
        <v>25</v>
      </c>
      <c r="BC285" s="65"/>
      <c r="BD285" s="73"/>
      <c r="BE285" s="53"/>
    </row>
    <row r="286" spans="1:57" s="9" customFormat="1" ht="11.25">
      <c r="A286" s="28" t="s">
        <v>290</v>
      </c>
      <c r="B286" s="9" t="s">
        <v>22</v>
      </c>
      <c r="C286" s="9" t="s">
        <v>23</v>
      </c>
      <c r="D286" s="20" t="s">
        <v>19</v>
      </c>
      <c r="E286" s="5">
        <v>2</v>
      </c>
      <c r="F286" s="17"/>
      <c r="G286" s="5"/>
      <c r="H286" s="5"/>
      <c r="I286" s="5"/>
      <c r="J286" s="5"/>
      <c r="K286" s="5"/>
      <c r="L286" s="5">
        <v>1</v>
      </c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>
        <v>1</v>
      </c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17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7">
        <f t="shared" si="12"/>
        <v>4</v>
      </c>
      <c r="BB286" s="58" t="s">
        <v>19</v>
      </c>
      <c r="BC286" s="65"/>
      <c r="BD286" s="73"/>
      <c r="BE286" s="43"/>
    </row>
    <row r="287" spans="1:57" s="9" customFormat="1" ht="11.25">
      <c r="A287" s="28" t="s">
        <v>291</v>
      </c>
      <c r="B287" s="9" t="s">
        <v>131</v>
      </c>
      <c r="C287" s="9" t="s">
        <v>132</v>
      </c>
      <c r="D287" s="20" t="s">
        <v>19</v>
      </c>
      <c r="E287" s="5"/>
      <c r="F287" s="17"/>
      <c r="G287" s="5"/>
      <c r="H287" s="5">
        <v>2</v>
      </c>
      <c r="I287" s="5"/>
      <c r="J287" s="5">
        <v>1</v>
      </c>
      <c r="K287" s="5"/>
      <c r="L287" s="5"/>
      <c r="M287" s="5"/>
      <c r="N287" s="5"/>
      <c r="O287" s="5"/>
      <c r="P287" s="5"/>
      <c r="Q287" s="5"/>
      <c r="R287" s="5">
        <v>1</v>
      </c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17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7">
        <f t="shared" si="12"/>
        <v>4</v>
      </c>
      <c r="BB287" s="58" t="s">
        <v>19</v>
      </c>
      <c r="BC287" s="65"/>
      <c r="BD287" s="73"/>
      <c r="BE287" s="43"/>
    </row>
    <row r="288" spans="1:57" s="9" customFormat="1" ht="11.25">
      <c r="A288" s="28" t="s">
        <v>292</v>
      </c>
      <c r="B288" s="8" t="s">
        <v>63</v>
      </c>
      <c r="C288" s="8" t="s">
        <v>48</v>
      </c>
      <c r="D288" s="20" t="s">
        <v>19</v>
      </c>
      <c r="E288" s="5">
        <v>20</v>
      </c>
      <c r="F288" s="5"/>
      <c r="G288" s="5"/>
      <c r="H288" s="5"/>
      <c r="I288" s="5">
        <v>1</v>
      </c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7">
        <f t="shared" si="12"/>
        <v>21</v>
      </c>
      <c r="BB288" s="58" t="s">
        <v>19</v>
      </c>
      <c r="BC288" s="65"/>
      <c r="BD288" s="73"/>
      <c r="BE288" s="43"/>
    </row>
    <row r="289" spans="1:105" ht="11.25">
      <c r="A289" s="27" t="s">
        <v>293</v>
      </c>
      <c r="B289" s="8" t="s">
        <v>296</v>
      </c>
      <c r="C289" s="8" t="s">
        <v>297</v>
      </c>
      <c r="D289" s="20" t="s">
        <v>25</v>
      </c>
      <c r="L289" s="5"/>
      <c r="N289" s="5"/>
      <c r="Z289" s="5"/>
      <c r="AJ289" s="7"/>
      <c r="AK289" s="5"/>
      <c r="AM289" s="5"/>
      <c r="AT289" s="5"/>
      <c r="AW289" s="5">
        <v>1</v>
      </c>
      <c r="AX289" s="5">
        <v>1</v>
      </c>
      <c r="BA289" s="57">
        <f t="shared" si="12"/>
        <v>2</v>
      </c>
      <c r="BB289" s="58" t="s">
        <v>25</v>
      </c>
      <c r="BC289" s="65"/>
      <c r="BD289" s="73"/>
      <c r="BE289" s="53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</row>
    <row r="290" spans="1:105" ht="11.25">
      <c r="A290" s="27" t="s">
        <v>294</v>
      </c>
      <c r="B290" s="8" t="s">
        <v>159</v>
      </c>
      <c r="C290" s="8"/>
      <c r="D290" s="20" t="s">
        <v>25</v>
      </c>
      <c r="L290" s="5">
        <v>1</v>
      </c>
      <c r="N290" s="5"/>
      <c r="Z290" s="5"/>
      <c r="AJ290" s="7"/>
      <c r="AK290" s="5"/>
      <c r="AM290" s="5"/>
      <c r="AT290" s="5">
        <v>1</v>
      </c>
      <c r="BA290" s="57">
        <f t="shared" si="12"/>
        <v>2</v>
      </c>
      <c r="BB290" s="58" t="s">
        <v>25</v>
      </c>
      <c r="BC290" s="65"/>
      <c r="BD290" s="73"/>
      <c r="BE290" s="53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</row>
    <row r="291" spans="1:58" ht="11.25">
      <c r="A291" s="35" t="s">
        <v>295</v>
      </c>
      <c r="B291" s="36" t="s">
        <v>160</v>
      </c>
      <c r="C291" s="36" t="s">
        <v>161</v>
      </c>
      <c r="D291" s="37" t="s">
        <v>19</v>
      </c>
      <c r="E291" s="38">
        <v>2</v>
      </c>
      <c r="F291" s="36"/>
      <c r="G291" s="38"/>
      <c r="H291" s="38">
        <v>3</v>
      </c>
      <c r="I291" s="38"/>
      <c r="J291" s="38"/>
      <c r="K291" s="39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9"/>
      <c r="AK291" s="38"/>
      <c r="AL291" s="39"/>
      <c r="AM291" s="38"/>
      <c r="AN291" s="38"/>
      <c r="AO291" s="38"/>
      <c r="AP291" s="38"/>
      <c r="AQ291" s="38"/>
      <c r="AR291" s="38"/>
      <c r="AS291" s="38"/>
      <c r="AT291" s="40"/>
      <c r="AU291" s="40"/>
      <c r="AV291" s="40"/>
      <c r="AW291" s="38"/>
      <c r="AX291" s="38"/>
      <c r="AY291" s="38">
        <v>1</v>
      </c>
      <c r="AZ291" s="38"/>
      <c r="BA291" s="59">
        <f t="shared" si="12"/>
        <v>6</v>
      </c>
      <c r="BB291" s="60" t="s">
        <v>19</v>
      </c>
      <c r="BC291" s="66"/>
      <c r="BD291" s="73"/>
      <c r="BE291" s="53"/>
      <c r="BF291" s="8"/>
    </row>
    <row r="292" spans="1:58" ht="13.5" customHeight="1">
      <c r="A292" s="75" t="s">
        <v>353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4"/>
      <c r="BE292" s="53"/>
      <c r="BF292" s="8"/>
    </row>
    <row r="293" spans="1:58" ht="11.25" hidden="1">
      <c r="A293" s="25"/>
      <c r="B293" s="8"/>
      <c r="C293" s="8"/>
      <c r="D293" s="13"/>
      <c r="L293" s="5"/>
      <c r="N293" s="5"/>
      <c r="AJ293" s="7"/>
      <c r="AK293" s="5"/>
      <c r="AM293" s="5"/>
      <c r="BB293" s="58"/>
      <c r="BC293" s="68"/>
      <c r="BD293" s="54"/>
      <c r="BE293" s="53"/>
      <c r="BF293" s="8"/>
    </row>
    <row r="294" spans="1:58" ht="11.25" hidden="1">
      <c r="A294" s="25"/>
      <c r="B294" s="8"/>
      <c r="C294" s="8"/>
      <c r="D294" s="13"/>
      <c r="L294" s="5"/>
      <c r="N294" s="5"/>
      <c r="AJ294" s="7"/>
      <c r="AK294" s="5"/>
      <c r="AM294" s="5"/>
      <c r="BB294" s="58"/>
      <c r="BC294" s="68"/>
      <c r="BD294" s="8"/>
      <c r="BE294" s="53"/>
      <c r="BF294" s="8"/>
    </row>
    <row r="295" spans="1:58" ht="11.25" hidden="1">
      <c r="A295" s="25"/>
      <c r="B295" s="8"/>
      <c r="C295" s="8"/>
      <c r="D295" s="13"/>
      <c r="L295" s="5"/>
      <c r="N295" s="5"/>
      <c r="AJ295" s="7"/>
      <c r="AK295" s="5"/>
      <c r="AM295" s="5"/>
      <c r="BB295" s="58"/>
      <c r="BC295" s="68"/>
      <c r="BD295" s="8"/>
      <c r="BE295" s="53"/>
      <c r="BF295" s="8"/>
    </row>
    <row r="296" spans="1:58" ht="11.25" hidden="1">
      <c r="A296" s="25"/>
      <c r="B296" s="8"/>
      <c r="C296" s="8"/>
      <c r="D296" s="13"/>
      <c r="L296" s="5"/>
      <c r="N296" s="5"/>
      <c r="AJ296" s="7"/>
      <c r="AK296" s="5"/>
      <c r="AM296" s="5"/>
      <c r="BB296" s="58"/>
      <c r="BC296" s="68"/>
      <c r="BD296" s="8"/>
      <c r="BE296" s="53"/>
      <c r="BF296" s="8"/>
    </row>
    <row r="297" spans="1:58" ht="11.25" hidden="1">
      <c r="A297" s="25"/>
      <c r="B297" s="8"/>
      <c r="C297" s="8"/>
      <c r="D297" s="13"/>
      <c r="L297" s="5"/>
      <c r="N297" s="5"/>
      <c r="AJ297" s="7"/>
      <c r="AK297" s="5"/>
      <c r="AM297" s="5"/>
      <c r="BB297" s="58"/>
      <c r="BC297" s="68"/>
      <c r="BD297" s="8"/>
      <c r="BE297" s="53"/>
      <c r="BF297" s="8"/>
    </row>
    <row r="298" spans="1:58" ht="11.25" hidden="1">
      <c r="A298" s="25"/>
      <c r="B298" s="8"/>
      <c r="C298" s="8"/>
      <c r="D298" s="13"/>
      <c r="L298" s="5"/>
      <c r="N298" s="5"/>
      <c r="AJ298" s="7"/>
      <c r="AK298" s="5"/>
      <c r="AM298" s="5"/>
      <c r="BB298" s="58"/>
      <c r="BC298" s="68"/>
      <c r="BD298" s="8"/>
      <c r="BE298" s="53"/>
      <c r="BF298" s="8"/>
    </row>
    <row r="299" spans="1:58" ht="11.25" hidden="1">
      <c r="A299" s="25"/>
      <c r="B299" s="8"/>
      <c r="C299" s="8"/>
      <c r="D299" s="13"/>
      <c r="L299" s="5"/>
      <c r="N299" s="5"/>
      <c r="AJ299" s="7"/>
      <c r="AK299" s="5"/>
      <c r="AM299" s="5"/>
      <c r="BB299" s="58"/>
      <c r="BC299" s="68"/>
      <c r="BD299" s="8"/>
      <c r="BE299" s="53"/>
      <c r="BF299" s="8"/>
    </row>
    <row r="300" spans="1:58" ht="11.25" hidden="1">
      <c r="A300" s="25"/>
      <c r="B300" s="8"/>
      <c r="C300" s="8"/>
      <c r="D300" s="13"/>
      <c r="L300" s="5"/>
      <c r="N300" s="5"/>
      <c r="AJ300" s="7"/>
      <c r="AK300" s="5"/>
      <c r="AM300" s="5"/>
      <c r="BB300" s="58"/>
      <c r="BC300" s="68"/>
      <c r="BD300" s="8"/>
      <c r="BE300" s="53"/>
      <c r="BF300" s="8"/>
    </row>
    <row r="301" spans="1:58" ht="11.25" hidden="1">
      <c r="A301" s="25"/>
      <c r="B301" s="8"/>
      <c r="C301" s="8"/>
      <c r="D301" s="13"/>
      <c r="L301" s="5"/>
      <c r="N301" s="5"/>
      <c r="AJ301" s="7"/>
      <c r="AK301" s="5"/>
      <c r="AM301" s="5"/>
      <c r="BB301" s="58"/>
      <c r="BC301" s="68"/>
      <c r="BD301" s="8"/>
      <c r="BE301" s="53"/>
      <c r="BF301" s="8"/>
    </row>
    <row r="302" spans="1:58" ht="11.25" hidden="1">
      <c r="A302" s="25"/>
      <c r="B302" s="8"/>
      <c r="C302" s="8"/>
      <c r="D302" s="13"/>
      <c r="L302" s="5"/>
      <c r="N302" s="5"/>
      <c r="AJ302" s="7"/>
      <c r="AK302" s="5"/>
      <c r="AM302" s="5"/>
      <c r="BB302" s="58"/>
      <c r="BC302" s="68"/>
      <c r="BD302" s="8"/>
      <c r="BE302" s="53"/>
      <c r="BF302" s="8"/>
    </row>
    <row r="303" spans="1:58" ht="11.25" hidden="1">
      <c r="A303" s="25"/>
      <c r="B303" s="8"/>
      <c r="C303" s="8"/>
      <c r="D303" s="13"/>
      <c r="L303" s="5"/>
      <c r="N303" s="5"/>
      <c r="AJ303" s="7"/>
      <c r="AK303" s="5"/>
      <c r="AM303" s="5"/>
      <c r="BB303" s="58"/>
      <c r="BC303" s="68"/>
      <c r="BD303" s="8"/>
      <c r="BE303" s="53"/>
      <c r="BF303" s="8"/>
    </row>
    <row r="304" spans="1:58" ht="11.25" hidden="1">
      <c r="A304" s="25"/>
      <c r="B304" s="8"/>
      <c r="C304" s="8"/>
      <c r="D304" s="13"/>
      <c r="L304" s="5"/>
      <c r="N304" s="5"/>
      <c r="AJ304" s="7"/>
      <c r="AK304" s="5"/>
      <c r="AM304" s="5"/>
      <c r="BB304" s="58"/>
      <c r="BC304" s="68"/>
      <c r="BD304" s="8"/>
      <c r="BE304" s="53"/>
      <c r="BF304" s="8"/>
    </row>
    <row r="305" spans="1:58" ht="11.25" hidden="1">
      <c r="A305" s="25"/>
      <c r="B305" s="8"/>
      <c r="C305" s="8"/>
      <c r="D305" s="13"/>
      <c r="L305" s="5"/>
      <c r="N305" s="5"/>
      <c r="AJ305" s="7"/>
      <c r="AK305" s="5"/>
      <c r="AM305" s="5"/>
      <c r="BB305" s="58"/>
      <c r="BC305" s="68"/>
      <c r="BD305" s="8"/>
      <c r="BE305" s="53"/>
      <c r="BF305" s="8"/>
    </row>
    <row r="306" spans="1:58" ht="11.25" hidden="1">
      <c r="A306" s="25"/>
      <c r="B306" s="8"/>
      <c r="C306" s="8"/>
      <c r="D306" s="13"/>
      <c r="L306" s="5"/>
      <c r="N306" s="5"/>
      <c r="AJ306" s="7"/>
      <c r="AK306" s="5"/>
      <c r="AM306" s="5"/>
      <c r="BB306" s="58"/>
      <c r="BC306" s="68"/>
      <c r="BD306" s="8"/>
      <c r="BE306" s="53"/>
      <c r="BF306" s="8"/>
    </row>
    <row r="307" spans="1:58" ht="11.25" hidden="1">
      <c r="A307" s="25"/>
      <c r="B307" s="8"/>
      <c r="C307" s="8"/>
      <c r="D307" s="13"/>
      <c r="L307" s="5"/>
      <c r="N307" s="5"/>
      <c r="AJ307" s="7"/>
      <c r="AK307" s="5"/>
      <c r="AM307" s="5"/>
      <c r="BB307" s="58"/>
      <c r="BC307" s="68"/>
      <c r="BD307" s="8"/>
      <c r="BE307" s="53"/>
      <c r="BF307" s="8"/>
    </row>
    <row r="308" spans="1:58" ht="11.25" hidden="1">
      <c r="A308" s="25"/>
      <c r="B308" s="8"/>
      <c r="C308" s="8"/>
      <c r="D308" s="13"/>
      <c r="L308" s="5"/>
      <c r="N308" s="5"/>
      <c r="AJ308" s="7"/>
      <c r="AK308" s="5"/>
      <c r="AM308" s="5"/>
      <c r="BB308" s="58"/>
      <c r="BC308" s="68"/>
      <c r="BD308" s="8"/>
      <c r="BE308" s="53"/>
      <c r="BF308" s="8"/>
    </row>
    <row r="309" spans="1:58" ht="11.25" hidden="1">
      <c r="A309" s="25"/>
      <c r="B309" s="8"/>
      <c r="C309" s="8"/>
      <c r="D309" s="13"/>
      <c r="L309" s="5"/>
      <c r="N309" s="5"/>
      <c r="AJ309" s="7"/>
      <c r="AK309" s="5"/>
      <c r="AM309" s="5"/>
      <c r="BB309" s="58"/>
      <c r="BC309" s="68"/>
      <c r="BD309" s="8"/>
      <c r="BE309" s="53"/>
      <c r="BF309" s="8"/>
    </row>
    <row r="310" spans="1:58" ht="11.25" hidden="1">
      <c r="A310" s="25"/>
      <c r="B310" s="8"/>
      <c r="C310" s="8"/>
      <c r="D310" s="13"/>
      <c r="L310" s="5"/>
      <c r="N310" s="5"/>
      <c r="AJ310" s="7"/>
      <c r="AK310" s="5"/>
      <c r="AM310" s="5"/>
      <c r="BB310" s="58"/>
      <c r="BC310" s="68"/>
      <c r="BD310" s="8"/>
      <c r="BE310" s="53"/>
      <c r="BF310" s="8"/>
    </row>
    <row r="311" spans="1:58" ht="11.25" hidden="1">
      <c r="A311" s="25"/>
      <c r="B311" s="8"/>
      <c r="C311" s="8"/>
      <c r="D311" s="13"/>
      <c r="L311" s="5"/>
      <c r="N311" s="5"/>
      <c r="AJ311" s="7"/>
      <c r="AK311" s="5"/>
      <c r="AM311" s="5"/>
      <c r="BB311" s="58"/>
      <c r="BC311" s="68"/>
      <c r="BD311" s="8"/>
      <c r="BE311" s="53"/>
      <c r="BF311" s="8"/>
    </row>
    <row r="312" spans="4:58" ht="11.25" hidden="1">
      <c r="D312" s="13"/>
      <c r="L312" s="5"/>
      <c r="N312" s="5"/>
      <c r="AJ312" s="7"/>
      <c r="AK312" s="5"/>
      <c r="AM312" s="5"/>
      <c r="BB312" s="58"/>
      <c r="BC312" s="68"/>
      <c r="BD312" s="8"/>
      <c r="BE312" s="53"/>
      <c r="BF312" s="8"/>
    </row>
    <row r="313" spans="4:58" ht="11.25" hidden="1">
      <c r="D313" s="13"/>
      <c r="L313" s="5"/>
      <c r="N313" s="5"/>
      <c r="AJ313" s="7"/>
      <c r="AK313" s="5"/>
      <c r="AM313" s="5"/>
      <c r="BB313" s="58"/>
      <c r="BC313" s="68"/>
      <c r="BD313" s="8"/>
      <c r="BE313" s="53"/>
      <c r="BF313" s="8"/>
    </row>
    <row r="314" spans="4:58" ht="11.25" hidden="1">
      <c r="D314" s="13"/>
      <c r="L314" s="5"/>
      <c r="N314" s="5"/>
      <c r="AJ314" s="7"/>
      <c r="AK314" s="5"/>
      <c r="AM314" s="5"/>
      <c r="BB314" s="58"/>
      <c r="BC314" s="68"/>
      <c r="BD314" s="8"/>
      <c r="BE314" s="53"/>
      <c r="BF314" s="8"/>
    </row>
    <row r="315" spans="4:58" ht="11.25" hidden="1">
      <c r="D315" s="13"/>
      <c r="L315" s="5"/>
      <c r="N315" s="5"/>
      <c r="AJ315" s="7"/>
      <c r="AK315" s="5"/>
      <c r="AM315" s="5"/>
      <c r="BB315" s="58"/>
      <c r="BC315" s="68"/>
      <c r="BD315" s="8"/>
      <c r="BE315" s="53"/>
      <c r="BF315" s="8"/>
    </row>
    <row r="316" spans="4:58" ht="11.25" hidden="1">
      <c r="D316" s="13"/>
      <c r="L316" s="5"/>
      <c r="N316" s="5"/>
      <c r="AJ316" s="7"/>
      <c r="AK316" s="5"/>
      <c r="AM316" s="5"/>
      <c r="BB316" s="58"/>
      <c r="BC316" s="68"/>
      <c r="BD316" s="8"/>
      <c r="BE316" s="53"/>
      <c r="BF316" s="8"/>
    </row>
    <row r="317" spans="4:58" ht="11.25" hidden="1">
      <c r="D317" s="13"/>
      <c r="L317" s="5"/>
      <c r="N317" s="5"/>
      <c r="AJ317" s="7"/>
      <c r="AK317" s="5"/>
      <c r="AM317" s="5"/>
      <c r="BB317" s="58"/>
      <c r="BC317" s="68"/>
      <c r="BD317" s="8"/>
      <c r="BE317" s="53"/>
      <c r="BF317" s="8"/>
    </row>
    <row r="318" spans="4:58" ht="11.25" hidden="1">
      <c r="D318" s="13"/>
      <c r="L318" s="5"/>
      <c r="N318" s="5"/>
      <c r="AJ318" s="7"/>
      <c r="AK318" s="5"/>
      <c r="AM318" s="5"/>
      <c r="BB318" s="58"/>
      <c r="BC318" s="68"/>
      <c r="BD318" s="8"/>
      <c r="BE318" s="53"/>
      <c r="BF318" s="8"/>
    </row>
    <row r="319" spans="4:58" ht="11.25" hidden="1">
      <c r="D319" s="13"/>
      <c r="L319" s="5"/>
      <c r="N319" s="5"/>
      <c r="AJ319" s="7"/>
      <c r="AK319" s="5"/>
      <c r="AM319" s="5"/>
      <c r="BB319" s="58"/>
      <c r="BC319" s="68"/>
      <c r="BD319" s="8"/>
      <c r="BE319" s="53"/>
      <c r="BF319" s="8"/>
    </row>
    <row r="320" spans="4:58" ht="11.25" hidden="1">
      <c r="D320" s="13"/>
      <c r="L320" s="5"/>
      <c r="N320" s="5"/>
      <c r="AJ320" s="7"/>
      <c r="AK320" s="5"/>
      <c r="AM320" s="5"/>
      <c r="BB320" s="58"/>
      <c r="BC320" s="68"/>
      <c r="BD320" s="8"/>
      <c r="BE320" s="53"/>
      <c r="BF320" s="8"/>
    </row>
    <row r="321" spans="4:58" ht="11.25" hidden="1">
      <c r="D321" s="13"/>
      <c r="L321" s="5"/>
      <c r="N321" s="5"/>
      <c r="AJ321" s="7"/>
      <c r="AK321" s="5"/>
      <c r="AM321" s="5"/>
      <c r="BB321" s="58"/>
      <c r="BC321" s="68"/>
      <c r="BD321" s="8"/>
      <c r="BE321" s="53"/>
      <c r="BF321" s="8"/>
    </row>
    <row r="322" spans="4:58" ht="11.25" hidden="1">
      <c r="D322" s="13"/>
      <c r="L322" s="5"/>
      <c r="N322" s="5"/>
      <c r="AJ322" s="7"/>
      <c r="AK322" s="5"/>
      <c r="AM322" s="5"/>
      <c r="BB322" s="58"/>
      <c r="BC322" s="68"/>
      <c r="BD322" s="8"/>
      <c r="BE322" s="53"/>
      <c r="BF322" s="8"/>
    </row>
    <row r="323" spans="4:58" ht="11.25" hidden="1">
      <c r="D323" s="13"/>
      <c r="L323" s="5"/>
      <c r="N323" s="5"/>
      <c r="AJ323" s="7"/>
      <c r="AK323" s="5"/>
      <c r="AM323" s="5"/>
      <c r="BB323" s="58"/>
      <c r="BC323" s="68"/>
      <c r="BD323" s="8"/>
      <c r="BE323" s="53"/>
      <c r="BF323" s="8"/>
    </row>
    <row r="324" spans="4:58" ht="11.25" hidden="1">
      <c r="D324" s="13"/>
      <c r="L324" s="5"/>
      <c r="N324" s="5"/>
      <c r="AJ324" s="7"/>
      <c r="AK324" s="5"/>
      <c r="AM324" s="5"/>
      <c r="BB324" s="58"/>
      <c r="BC324" s="68"/>
      <c r="BD324" s="8"/>
      <c r="BE324" s="53"/>
      <c r="BF324" s="8"/>
    </row>
    <row r="325" spans="4:58" ht="11.25" hidden="1">
      <c r="D325" s="13"/>
      <c r="L325" s="5"/>
      <c r="N325" s="5"/>
      <c r="AJ325" s="7"/>
      <c r="AK325" s="5"/>
      <c r="AM325" s="5"/>
      <c r="BB325" s="58"/>
      <c r="BC325" s="68"/>
      <c r="BD325" s="8"/>
      <c r="BE325" s="53"/>
      <c r="BF325" s="8"/>
    </row>
    <row r="326" spans="4:58" ht="11.25" hidden="1">
      <c r="D326" s="13"/>
      <c r="L326" s="5"/>
      <c r="N326" s="5"/>
      <c r="AJ326" s="7"/>
      <c r="AK326" s="5"/>
      <c r="AM326" s="5"/>
      <c r="BB326" s="58"/>
      <c r="BC326" s="68"/>
      <c r="BD326" s="8"/>
      <c r="BE326" s="53"/>
      <c r="BF326" s="8"/>
    </row>
    <row r="327" spans="4:58" ht="11.25" hidden="1">
      <c r="D327" s="13"/>
      <c r="L327" s="5"/>
      <c r="N327" s="5"/>
      <c r="AJ327" s="7"/>
      <c r="AK327" s="5"/>
      <c r="AM327" s="5"/>
      <c r="BB327" s="58"/>
      <c r="BC327" s="68"/>
      <c r="BD327" s="8"/>
      <c r="BE327" s="53"/>
      <c r="BF327" s="8"/>
    </row>
    <row r="328" spans="4:58" ht="11.25" hidden="1">
      <c r="D328" s="13"/>
      <c r="L328" s="5"/>
      <c r="N328" s="5"/>
      <c r="AJ328" s="7"/>
      <c r="AK328" s="5"/>
      <c r="AM328" s="5"/>
      <c r="BB328" s="58"/>
      <c r="BC328" s="68"/>
      <c r="BD328" s="8"/>
      <c r="BE328" s="53"/>
      <c r="BF328" s="8"/>
    </row>
    <row r="329" spans="4:58" ht="11.25" hidden="1">
      <c r="D329" s="13"/>
      <c r="L329" s="5"/>
      <c r="N329" s="5"/>
      <c r="AJ329" s="7"/>
      <c r="AK329" s="5"/>
      <c r="AM329" s="5"/>
      <c r="BB329" s="58"/>
      <c r="BC329" s="68"/>
      <c r="BD329" s="8"/>
      <c r="BE329" s="53"/>
      <c r="BF329" s="8"/>
    </row>
    <row r="330" spans="4:58" ht="11.25" hidden="1">
      <c r="D330" s="13"/>
      <c r="L330" s="5"/>
      <c r="N330" s="5"/>
      <c r="AJ330" s="7"/>
      <c r="AK330" s="5"/>
      <c r="AM330" s="5"/>
      <c r="BB330" s="58"/>
      <c r="BC330" s="68"/>
      <c r="BD330" s="8"/>
      <c r="BE330" s="53"/>
      <c r="BF330" s="8"/>
    </row>
    <row r="331" spans="4:58" ht="11.25" hidden="1">
      <c r="D331" s="13"/>
      <c r="L331" s="5"/>
      <c r="N331" s="5"/>
      <c r="AJ331" s="7"/>
      <c r="AK331" s="5"/>
      <c r="AM331" s="5"/>
      <c r="BB331" s="58"/>
      <c r="BC331" s="68"/>
      <c r="BD331" s="8"/>
      <c r="BE331" s="53"/>
      <c r="BF331" s="8"/>
    </row>
    <row r="332" spans="4:58" ht="11.25" hidden="1">
      <c r="D332" s="13"/>
      <c r="L332" s="5"/>
      <c r="N332" s="5"/>
      <c r="AJ332" s="7"/>
      <c r="AK332" s="5"/>
      <c r="AM332" s="5"/>
      <c r="BB332" s="58"/>
      <c r="BC332" s="68"/>
      <c r="BD332" s="8"/>
      <c r="BE332" s="53"/>
      <c r="BF332" s="8"/>
    </row>
    <row r="333" spans="4:58" ht="11.25" hidden="1">
      <c r="D333" s="13"/>
      <c r="L333" s="5"/>
      <c r="N333" s="5"/>
      <c r="AJ333" s="7"/>
      <c r="AK333" s="5"/>
      <c r="AM333" s="5"/>
      <c r="BB333" s="58"/>
      <c r="BC333" s="68"/>
      <c r="BD333" s="8"/>
      <c r="BE333" s="53"/>
      <c r="BF333" s="8"/>
    </row>
    <row r="334" spans="4:58" ht="11.25" hidden="1">
      <c r="D334" s="13"/>
      <c r="L334" s="5"/>
      <c r="N334" s="5"/>
      <c r="AJ334" s="7"/>
      <c r="AK334" s="5"/>
      <c r="AM334" s="5"/>
      <c r="BB334" s="58"/>
      <c r="BC334" s="68"/>
      <c r="BD334" s="8"/>
      <c r="BE334" s="53"/>
      <c r="BF334" s="8"/>
    </row>
    <row r="335" spans="4:58" ht="11.25" hidden="1">
      <c r="D335" s="13"/>
      <c r="L335" s="5"/>
      <c r="N335" s="5"/>
      <c r="AJ335" s="7"/>
      <c r="AK335" s="5"/>
      <c r="AM335" s="5"/>
      <c r="BB335" s="58"/>
      <c r="BC335" s="68"/>
      <c r="BD335" s="8"/>
      <c r="BE335" s="53"/>
      <c r="BF335" s="8"/>
    </row>
    <row r="336" spans="4:58" ht="11.25" hidden="1">
      <c r="D336" s="13"/>
      <c r="L336" s="5"/>
      <c r="N336" s="5"/>
      <c r="AJ336" s="7"/>
      <c r="AK336" s="5"/>
      <c r="AM336" s="5"/>
      <c r="BB336" s="58"/>
      <c r="BC336" s="68"/>
      <c r="BD336" s="8"/>
      <c r="BE336" s="53"/>
      <c r="BF336" s="8"/>
    </row>
    <row r="337" spans="4:58" ht="11.25" hidden="1">
      <c r="D337" s="13"/>
      <c r="L337" s="5"/>
      <c r="N337" s="5"/>
      <c r="AJ337" s="7"/>
      <c r="AK337" s="5"/>
      <c r="AM337" s="5"/>
      <c r="BB337" s="58"/>
      <c r="BC337" s="68"/>
      <c r="BD337" s="8"/>
      <c r="BE337" s="53"/>
      <c r="BF337" s="8"/>
    </row>
    <row r="338" spans="4:58" ht="11.25" hidden="1">
      <c r="D338" s="13"/>
      <c r="L338" s="5"/>
      <c r="N338" s="5"/>
      <c r="AJ338" s="7"/>
      <c r="AK338" s="5"/>
      <c r="AM338" s="5"/>
      <c r="BB338" s="58"/>
      <c r="BC338" s="68"/>
      <c r="BD338" s="8"/>
      <c r="BE338" s="53"/>
      <c r="BF338" s="8"/>
    </row>
    <row r="339" spans="4:58" ht="11.25" hidden="1">
      <c r="D339" s="13"/>
      <c r="L339" s="5"/>
      <c r="N339" s="5"/>
      <c r="AJ339" s="7"/>
      <c r="AK339" s="5"/>
      <c r="AM339" s="5"/>
      <c r="BB339" s="58"/>
      <c r="BC339" s="68"/>
      <c r="BD339" s="8"/>
      <c r="BE339" s="53"/>
      <c r="BF339" s="8"/>
    </row>
    <row r="340" spans="4:58" ht="11.25" hidden="1">
      <c r="D340" s="13"/>
      <c r="L340" s="5"/>
      <c r="N340" s="5"/>
      <c r="AJ340" s="7"/>
      <c r="AK340" s="5"/>
      <c r="AM340" s="5"/>
      <c r="BB340" s="58"/>
      <c r="BC340" s="68"/>
      <c r="BD340" s="8"/>
      <c r="BE340" s="53"/>
      <c r="BF340" s="8"/>
    </row>
    <row r="341" spans="4:58" ht="11.25" hidden="1">
      <c r="D341" s="13"/>
      <c r="L341" s="5"/>
      <c r="N341" s="5"/>
      <c r="AJ341" s="7"/>
      <c r="AK341" s="5"/>
      <c r="AM341" s="5"/>
      <c r="BB341" s="58"/>
      <c r="BC341" s="68"/>
      <c r="BD341" s="8"/>
      <c r="BE341" s="53"/>
      <c r="BF341" s="8"/>
    </row>
    <row r="342" spans="4:58" ht="11.25" hidden="1">
      <c r="D342" s="13"/>
      <c r="L342" s="5"/>
      <c r="N342" s="5"/>
      <c r="AJ342" s="7"/>
      <c r="AK342" s="5"/>
      <c r="AM342" s="5"/>
      <c r="BB342" s="58"/>
      <c r="BC342" s="68"/>
      <c r="BD342" s="8"/>
      <c r="BE342" s="53"/>
      <c r="BF342" s="8"/>
    </row>
    <row r="343" spans="4:58" ht="11.25" hidden="1">
      <c r="D343" s="13"/>
      <c r="L343" s="5"/>
      <c r="N343" s="5"/>
      <c r="AJ343" s="7"/>
      <c r="AK343" s="5"/>
      <c r="AM343" s="5"/>
      <c r="BB343" s="58"/>
      <c r="BC343" s="68"/>
      <c r="BD343" s="8"/>
      <c r="BE343" s="53"/>
      <c r="BF343" s="8"/>
    </row>
    <row r="344" spans="4:58" ht="11.25" hidden="1">
      <c r="D344" s="13"/>
      <c r="L344" s="5"/>
      <c r="N344" s="5"/>
      <c r="AJ344" s="7"/>
      <c r="AK344" s="5"/>
      <c r="AM344" s="5"/>
      <c r="BB344" s="58"/>
      <c r="BC344" s="68"/>
      <c r="BD344" s="8"/>
      <c r="BE344" s="53"/>
      <c r="BF344" s="8"/>
    </row>
    <row r="345" spans="4:58" ht="11.25" hidden="1">
      <c r="D345" s="13"/>
      <c r="L345" s="5"/>
      <c r="N345" s="5"/>
      <c r="AJ345" s="7"/>
      <c r="AK345" s="5"/>
      <c r="AM345" s="5"/>
      <c r="BB345" s="58"/>
      <c r="BC345" s="68"/>
      <c r="BD345" s="8"/>
      <c r="BE345" s="53"/>
      <c r="BF345" s="8"/>
    </row>
    <row r="346" spans="4:58" ht="11.25" hidden="1">
      <c r="D346" s="13"/>
      <c r="L346" s="5"/>
      <c r="N346" s="5"/>
      <c r="AJ346" s="7"/>
      <c r="AK346" s="5"/>
      <c r="AM346" s="5"/>
      <c r="BB346" s="58"/>
      <c r="BC346" s="68"/>
      <c r="BD346" s="8"/>
      <c r="BE346" s="53"/>
      <c r="BF346" s="8"/>
    </row>
    <row r="347" spans="4:58" ht="11.25" hidden="1">
      <c r="D347" s="13"/>
      <c r="L347" s="5"/>
      <c r="N347" s="5"/>
      <c r="AJ347" s="7"/>
      <c r="AK347" s="5"/>
      <c r="AM347" s="5"/>
      <c r="BB347" s="58"/>
      <c r="BC347" s="68"/>
      <c r="BD347" s="8"/>
      <c r="BE347" s="53"/>
      <c r="BF347" s="8"/>
    </row>
    <row r="348" spans="4:58" ht="11.25" hidden="1">
      <c r="D348" s="13"/>
      <c r="L348" s="5"/>
      <c r="N348" s="5"/>
      <c r="AJ348" s="7"/>
      <c r="AK348" s="5"/>
      <c r="AM348" s="5"/>
      <c r="BB348" s="58"/>
      <c r="BC348" s="68"/>
      <c r="BD348" s="8"/>
      <c r="BE348" s="53"/>
      <c r="BF348" s="8"/>
    </row>
    <row r="349" spans="4:58" ht="11.25" hidden="1">
      <c r="D349" s="13"/>
      <c r="L349" s="5"/>
      <c r="N349" s="5"/>
      <c r="AJ349" s="7"/>
      <c r="AK349" s="5"/>
      <c r="AM349" s="5"/>
      <c r="BB349" s="58"/>
      <c r="BC349" s="68"/>
      <c r="BD349" s="8"/>
      <c r="BE349" s="53"/>
      <c r="BF349" s="8"/>
    </row>
    <row r="350" spans="4:58" ht="11.25" hidden="1">
      <c r="D350" s="13"/>
      <c r="L350" s="5"/>
      <c r="N350" s="5"/>
      <c r="AJ350" s="7"/>
      <c r="AK350" s="5"/>
      <c r="AM350" s="5"/>
      <c r="BB350" s="58"/>
      <c r="BC350" s="68"/>
      <c r="BD350" s="8"/>
      <c r="BE350" s="53"/>
      <c r="BF350" s="8"/>
    </row>
    <row r="351" spans="4:58" ht="11.25" hidden="1">
      <c r="D351" s="13"/>
      <c r="L351" s="5"/>
      <c r="N351" s="5"/>
      <c r="AJ351" s="7"/>
      <c r="AK351" s="5"/>
      <c r="AM351" s="5"/>
      <c r="BB351" s="58"/>
      <c r="BC351" s="68"/>
      <c r="BD351" s="8"/>
      <c r="BE351" s="53"/>
      <c r="BF351" s="8"/>
    </row>
    <row r="352" spans="4:58" ht="11.25" hidden="1">
      <c r="D352" s="13"/>
      <c r="L352" s="5"/>
      <c r="N352" s="5"/>
      <c r="AJ352" s="7"/>
      <c r="AK352" s="5"/>
      <c r="AM352" s="5"/>
      <c r="BB352" s="58"/>
      <c r="BC352" s="68"/>
      <c r="BD352" s="8"/>
      <c r="BE352" s="53"/>
      <c r="BF352" s="8"/>
    </row>
    <row r="353" spans="4:58" ht="11.25" hidden="1">
      <c r="D353" s="13"/>
      <c r="L353" s="5"/>
      <c r="N353" s="5"/>
      <c r="AJ353" s="7"/>
      <c r="AK353" s="5"/>
      <c r="AM353" s="5"/>
      <c r="BB353" s="58"/>
      <c r="BC353" s="68"/>
      <c r="BD353" s="8"/>
      <c r="BE353" s="53"/>
      <c r="BF353" s="8"/>
    </row>
    <row r="354" spans="4:58" ht="11.25" hidden="1">
      <c r="D354" s="13"/>
      <c r="L354" s="5"/>
      <c r="N354" s="5"/>
      <c r="AJ354" s="7"/>
      <c r="AK354" s="5"/>
      <c r="AM354" s="5"/>
      <c r="BB354" s="58"/>
      <c r="BC354" s="68"/>
      <c r="BD354" s="8"/>
      <c r="BE354" s="53"/>
      <c r="BF354" s="8"/>
    </row>
    <row r="355" spans="4:58" ht="11.25" hidden="1">
      <c r="D355" s="13"/>
      <c r="L355" s="5"/>
      <c r="N355" s="5"/>
      <c r="AJ355" s="7"/>
      <c r="AK355" s="5"/>
      <c r="AM355" s="5"/>
      <c r="BB355" s="58"/>
      <c r="BC355" s="68"/>
      <c r="BD355" s="8"/>
      <c r="BE355" s="53"/>
      <c r="BF355" s="8"/>
    </row>
    <row r="356" spans="4:58" ht="11.25" hidden="1">
      <c r="D356" s="13"/>
      <c r="L356" s="5"/>
      <c r="N356" s="5"/>
      <c r="AJ356" s="7"/>
      <c r="AK356" s="5"/>
      <c r="AM356" s="5"/>
      <c r="BB356" s="58"/>
      <c r="BC356" s="68"/>
      <c r="BD356" s="8"/>
      <c r="BE356" s="53"/>
      <c r="BF356" s="8"/>
    </row>
    <row r="357" spans="4:58" ht="11.25" hidden="1">
      <c r="D357" s="13"/>
      <c r="L357" s="5"/>
      <c r="N357" s="5"/>
      <c r="AJ357" s="7"/>
      <c r="AK357" s="5"/>
      <c r="AM357" s="5"/>
      <c r="BB357" s="58"/>
      <c r="BC357" s="68"/>
      <c r="BD357" s="8"/>
      <c r="BE357" s="53"/>
      <c r="BF357" s="8"/>
    </row>
    <row r="358" spans="4:58" ht="11.25" hidden="1">
      <c r="D358" s="13"/>
      <c r="L358" s="5"/>
      <c r="N358" s="5"/>
      <c r="AJ358" s="7"/>
      <c r="AK358" s="5"/>
      <c r="AM358" s="5"/>
      <c r="BB358" s="58"/>
      <c r="BC358" s="68"/>
      <c r="BD358" s="8"/>
      <c r="BE358" s="53"/>
      <c r="BF358" s="8"/>
    </row>
    <row r="359" spans="4:58" ht="11.25" hidden="1">
      <c r="D359" s="13"/>
      <c r="L359" s="5"/>
      <c r="N359" s="5"/>
      <c r="AJ359" s="7"/>
      <c r="AK359" s="5"/>
      <c r="AM359" s="5"/>
      <c r="BB359" s="58"/>
      <c r="BC359" s="68"/>
      <c r="BD359" s="8"/>
      <c r="BE359" s="53"/>
      <c r="BF359" s="8"/>
    </row>
    <row r="360" spans="4:58" ht="11.25" hidden="1">
      <c r="D360" s="13"/>
      <c r="L360" s="5"/>
      <c r="N360" s="5"/>
      <c r="AJ360" s="7"/>
      <c r="AK360" s="5"/>
      <c r="AM360" s="5"/>
      <c r="BB360" s="58"/>
      <c r="BC360" s="68"/>
      <c r="BD360" s="8"/>
      <c r="BE360" s="53"/>
      <c r="BF360" s="8"/>
    </row>
    <row r="361" spans="4:58" ht="11.25" hidden="1">
      <c r="D361" s="13"/>
      <c r="L361" s="5"/>
      <c r="N361" s="5"/>
      <c r="AJ361" s="7"/>
      <c r="AK361" s="5"/>
      <c r="AM361" s="5"/>
      <c r="BB361" s="58"/>
      <c r="BC361" s="68"/>
      <c r="BD361" s="8"/>
      <c r="BE361" s="53"/>
      <c r="BF361" s="8"/>
    </row>
    <row r="362" spans="4:58" ht="11.25" hidden="1">
      <c r="D362" s="13"/>
      <c r="L362" s="5"/>
      <c r="N362" s="5"/>
      <c r="AJ362" s="7"/>
      <c r="AK362" s="5"/>
      <c r="AM362" s="5"/>
      <c r="BB362" s="58"/>
      <c r="BC362" s="68"/>
      <c r="BD362" s="8"/>
      <c r="BE362" s="53"/>
      <c r="BF362" s="8"/>
    </row>
    <row r="363" spans="4:58" ht="11.25" hidden="1">
      <c r="D363" s="13"/>
      <c r="L363" s="5"/>
      <c r="N363" s="5"/>
      <c r="AJ363" s="7"/>
      <c r="AK363" s="5"/>
      <c r="AM363" s="5"/>
      <c r="BB363" s="58"/>
      <c r="BC363" s="68"/>
      <c r="BD363" s="8"/>
      <c r="BE363" s="53"/>
      <c r="BF363" s="8"/>
    </row>
    <row r="364" spans="4:58" ht="11.25" hidden="1">
      <c r="D364" s="13"/>
      <c r="L364" s="5"/>
      <c r="N364" s="5"/>
      <c r="AJ364" s="7"/>
      <c r="AK364" s="5"/>
      <c r="AM364" s="5"/>
      <c r="BB364" s="58"/>
      <c r="BC364" s="68"/>
      <c r="BD364" s="8"/>
      <c r="BE364" s="53"/>
      <c r="BF364" s="8"/>
    </row>
    <row r="365" spans="4:57" ht="11.25" hidden="1">
      <c r="D365" s="13"/>
      <c r="BB365" s="58"/>
      <c r="BC365" s="69"/>
      <c r="BE365" s="71"/>
    </row>
    <row r="366" spans="4:57" ht="11.25" hidden="1">
      <c r="D366" s="13"/>
      <c r="BB366" s="58"/>
      <c r="BC366" s="69"/>
      <c r="BE366" s="71"/>
    </row>
    <row r="367" spans="4:57" ht="11.25" hidden="1">
      <c r="D367" s="13"/>
      <c r="BB367" s="58"/>
      <c r="BC367" s="69"/>
      <c r="BE367" s="71"/>
    </row>
    <row r="368" spans="4:57" ht="11.25" hidden="1">
      <c r="D368" s="13"/>
      <c r="BB368" s="58"/>
      <c r="BC368" s="69"/>
      <c r="BE368" s="71"/>
    </row>
    <row r="369" spans="4:57" ht="11.25" hidden="1">
      <c r="D369" s="13"/>
      <c r="BB369" s="58"/>
      <c r="BC369" s="69"/>
      <c r="BE369" s="71"/>
    </row>
    <row r="370" spans="4:57" ht="11.25" hidden="1">
      <c r="D370" s="13"/>
      <c r="BB370" s="58"/>
      <c r="BC370" s="69"/>
      <c r="BE370" s="71"/>
    </row>
    <row r="371" spans="4:57" ht="11.25" hidden="1">
      <c r="D371" s="13"/>
      <c r="BB371" s="58"/>
      <c r="BC371" s="69"/>
      <c r="BE371" s="71"/>
    </row>
    <row r="372" spans="4:57" ht="11.25" hidden="1">
      <c r="D372" s="13"/>
      <c r="BB372" s="58"/>
      <c r="BC372" s="69"/>
      <c r="BE372" s="71"/>
    </row>
    <row r="373" spans="4:57" ht="11.25" hidden="1">
      <c r="D373" s="13"/>
      <c r="BB373" s="58"/>
      <c r="BC373" s="69"/>
      <c r="BE373" s="71"/>
    </row>
    <row r="374" spans="4:57" ht="11.25" hidden="1">
      <c r="D374" s="13"/>
      <c r="BB374" s="58"/>
      <c r="BC374" s="69"/>
      <c r="BE374" s="71"/>
    </row>
    <row r="375" spans="4:57" ht="11.25" hidden="1">
      <c r="D375" s="13"/>
      <c r="BB375" s="58"/>
      <c r="BC375" s="69"/>
      <c r="BE375" s="71"/>
    </row>
    <row r="376" spans="4:57" ht="11.25" hidden="1">
      <c r="D376" s="13"/>
      <c r="BB376" s="58"/>
      <c r="BC376" s="69"/>
      <c r="BE376" s="71"/>
    </row>
    <row r="377" spans="4:57" ht="11.25" hidden="1">
      <c r="D377" s="13"/>
      <c r="BB377" s="58"/>
      <c r="BC377" s="69"/>
      <c r="BE377" s="71"/>
    </row>
    <row r="378" spans="4:57" ht="11.25" hidden="1">
      <c r="D378" s="13"/>
      <c r="BB378" s="58"/>
      <c r="BC378" s="69"/>
      <c r="BE378" s="71"/>
    </row>
    <row r="379" spans="4:57" ht="11.25" hidden="1">
      <c r="D379" s="13"/>
      <c r="BB379" s="58"/>
      <c r="BC379" s="69"/>
      <c r="BE379" s="71"/>
    </row>
    <row r="380" spans="4:57" ht="11.25" hidden="1">
      <c r="D380" s="13"/>
      <c r="BB380" s="58"/>
      <c r="BC380" s="69"/>
      <c r="BE380" s="71"/>
    </row>
    <row r="381" spans="4:57" ht="11.25" hidden="1">
      <c r="D381" s="13"/>
      <c r="BB381" s="58"/>
      <c r="BC381" s="69"/>
      <c r="BE381" s="71"/>
    </row>
    <row r="382" spans="4:57" ht="11.25" hidden="1">
      <c r="D382" s="13"/>
      <c r="BB382" s="58"/>
      <c r="BC382" s="69"/>
      <c r="BE382" s="71"/>
    </row>
    <row r="383" spans="4:57" ht="11.25" hidden="1">
      <c r="D383" s="13"/>
      <c r="BB383" s="58"/>
      <c r="BC383" s="69"/>
      <c r="BE383" s="71"/>
    </row>
    <row r="384" spans="4:57" ht="11.25" hidden="1">
      <c r="D384" s="13"/>
      <c r="BB384" s="58"/>
      <c r="BC384" s="69"/>
      <c r="BE384" s="71"/>
    </row>
    <row r="385" spans="4:57" ht="11.25" hidden="1">
      <c r="D385" s="13"/>
      <c r="BB385" s="58"/>
      <c r="BC385" s="69"/>
      <c r="BE385" s="71"/>
    </row>
    <row r="386" spans="4:57" ht="11.25" hidden="1">
      <c r="D386" s="13"/>
      <c r="BB386" s="58"/>
      <c r="BC386" s="69"/>
      <c r="BE386" s="71"/>
    </row>
    <row r="387" spans="4:57" ht="11.25" hidden="1">
      <c r="D387" s="13"/>
      <c r="BB387" s="58"/>
      <c r="BC387" s="69"/>
      <c r="BE387" s="71"/>
    </row>
    <row r="388" spans="4:57" ht="11.25" hidden="1">
      <c r="D388" s="13"/>
      <c r="BB388" s="58"/>
      <c r="BC388" s="69"/>
      <c r="BE388" s="71"/>
    </row>
    <row r="389" spans="4:57" ht="11.25" hidden="1">
      <c r="D389" s="13"/>
      <c r="BB389" s="58"/>
      <c r="BC389" s="69"/>
      <c r="BE389" s="71"/>
    </row>
    <row r="390" spans="4:57" ht="11.25" hidden="1">
      <c r="D390" s="13"/>
      <c r="BB390" s="58"/>
      <c r="BC390" s="69"/>
      <c r="BE390" s="71"/>
    </row>
    <row r="391" spans="4:57" ht="11.25" hidden="1">
      <c r="D391" s="13"/>
      <c r="BB391" s="58"/>
      <c r="BC391" s="69"/>
      <c r="BE391" s="71"/>
    </row>
    <row r="392" spans="4:57" ht="11.25" hidden="1">
      <c r="D392" s="13"/>
      <c r="BB392" s="58"/>
      <c r="BC392" s="69"/>
      <c r="BE392" s="71"/>
    </row>
    <row r="393" spans="4:57" ht="11.25" hidden="1">
      <c r="D393" s="13"/>
      <c r="BB393" s="58"/>
      <c r="BC393" s="69"/>
      <c r="BE393" s="71"/>
    </row>
    <row r="394" spans="4:57" ht="11.25" hidden="1">
      <c r="D394" s="13"/>
      <c r="BB394" s="58"/>
      <c r="BC394" s="69"/>
      <c r="BE394" s="71"/>
    </row>
    <row r="395" spans="4:57" ht="11.25" hidden="1">
      <c r="D395" s="13"/>
      <c r="BB395" s="58"/>
      <c r="BC395" s="69"/>
      <c r="BE395" s="71"/>
    </row>
    <row r="396" spans="4:57" ht="11.25" hidden="1">
      <c r="D396" s="13"/>
      <c r="BB396" s="58"/>
      <c r="BC396" s="69"/>
      <c r="BE396" s="71"/>
    </row>
    <row r="397" spans="4:57" ht="11.25" hidden="1">
      <c r="D397" s="13"/>
      <c r="BB397" s="58"/>
      <c r="BC397" s="69"/>
      <c r="BE397" s="71"/>
    </row>
    <row r="398" spans="4:57" ht="11.25" hidden="1">
      <c r="D398" s="13"/>
      <c r="BB398" s="58"/>
      <c r="BC398" s="69"/>
      <c r="BE398" s="71"/>
    </row>
    <row r="399" spans="4:57" ht="11.25" hidden="1">
      <c r="D399" s="13"/>
      <c r="BB399" s="58"/>
      <c r="BC399" s="69"/>
      <c r="BE399" s="71"/>
    </row>
    <row r="400" spans="4:57" ht="11.25" hidden="1">
      <c r="D400" s="13"/>
      <c r="BB400" s="58"/>
      <c r="BC400" s="69"/>
      <c r="BE400" s="71"/>
    </row>
    <row r="401" spans="4:57" ht="11.25" hidden="1">
      <c r="D401" s="13"/>
      <c r="BB401" s="58"/>
      <c r="BC401" s="69"/>
      <c r="BE401" s="71"/>
    </row>
    <row r="402" spans="4:57" ht="11.25" hidden="1">
      <c r="D402" s="13"/>
      <c r="BB402" s="58"/>
      <c r="BC402" s="69"/>
      <c r="BE402" s="71"/>
    </row>
    <row r="403" spans="4:57" ht="11.25" hidden="1">
      <c r="D403" s="13"/>
      <c r="BB403" s="58"/>
      <c r="BC403" s="69"/>
      <c r="BE403" s="71"/>
    </row>
    <row r="404" spans="4:57" ht="11.25" hidden="1">
      <c r="D404" s="13"/>
      <c r="BB404" s="58"/>
      <c r="BC404" s="69"/>
      <c r="BE404" s="71"/>
    </row>
    <row r="405" spans="4:57" ht="11.25" hidden="1">
      <c r="D405" s="13"/>
      <c r="BB405" s="58"/>
      <c r="BC405" s="69"/>
      <c r="BE405" s="71"/>
    </row>
    <row r="406" spans="4:57" ht="11.25" hidden="1">
      <c r="D406" s="13"/>
      <c r="BB406" s="58"/>
      <c r="BC406" s="69"/>
      <c r="BE406" s="71"/>
    </row>
    <row r="407" spans="4:57" ht="11.25" hidden="1">
      <c r="D407" s="13"/>
      <c r="BB407" s="58"/>
      <c r="BC407" s="69"/>
      <c r="BE407" s="71"/>
    </row>
    <row r="408" spans="4:57" ht="11.25" hidden="1">
      <c r="D408" s="13"/>
      <c r="BB408" s="58"/>
      <c r="BC408" s="69"/>
      <c r="BE408" s="71"/>
    </row>
    <row r="409" spans="4:57" ht="11.25" hidden="1">
      <c r="D409" s="13"/>
      <c r="BB409" s="58"/>
      <c r="BC409" s="69"/>
      <c r="BE409" s="71"/>
    </row>
    <row r="410" spans="4:57" ht="11.25" hidden="1">
      <c r="D410" s="13"/>
      <c r="BB410" s="58"/>
      <c r="BC410" s="69"/>
      <c r="BE410" s="71"/>
    </row>
    <row r="411" spans="4:57" ht="11.25" hidden="1">
      <c r="D411" s="13"/>
      <c r="BB411" s="58"/>
      <c r="BC411" s="69"/>
      <c r="BE411" s="71"/>
    </row>
    <row r="412" spans="4:57" ht="11.25" hidden="1">
      <c r="D412" s="13"/>
      <c r="BB412" s="58"/>
      <c r="BC412" s="69"/>
      <c r="BE412" s="71"/>
    </row>
    <row r="413" spans="4:57" ht="11.25" hidden="1">
      <c r="D413" s="13"/>
      <c r="BB413" s="58"/>
      <c r="BC413" s="69"/>
      <c r="BE413" s="71"/>
    </row>
    <row r="414" spans="4:57" ht="11.25" hidden="1">
      <c r="D414" s="13"/>
      <c r="BB414" s="58"/>
      <c r="BC414" s="69"/>
      <c r="BE414" s="71"/>
    </row>
    <row r="415" spans="4:57" ht="11.25" hidden="1">
      <c r="D415" s="13"/>
      <c r="BB415" s="58"/>
      <c r="BC415" s="69"/>
      <c r="BE415" s="71"/>
    </row>
    <row r="416" spans="4:57" ht="11.25" hidden="1">
      <c r="D416" s="13"/>
      <c r="BB416" s="58"/>
      <c r="BC416" s="69"/>
      <c r="BE416" s="71"/>
    </row>
    <row r="417" spans="4:57" ht="11.25" hidden="1">
      <c r="D417" s="13"/>
      <c r="BB417" s="58"/>
      <c r="BC417" s="69"/>
      <c r="BE417" s="71"/>
    </row>
    <row r="418" spans="4:57" ht="11.25" hidden="1">
      <c r="D418" s="13"/>
      <c r="BB418" s="58"/>
      <c r="BC418" s="69"/>
      <c r="BE418" s="71"/>
    </row>
    <row r="419" spans="4:57" ht="11.25" hidden="1">
      <c r="D419" s="13"/>
      <c r="BB419" s="58"/>
      <c r="BC419" s="69"/>
      <c r="BE419" s="71"/>
    </row>
    <row r="420" spans="4:57" ht="11.25" hidden="1">
      <c r="D420" s="13"/>
      <c r="BB420" s="58"/>
      <c r="BC420" s="69"/>
      <c r="BE420" s="71"/>
    </row>
    <row r="421" spans="4:57" ht="11.25" hidden="1">
      <c r="D421" s="13"/>
      <c r="BB421" s="58"/>
      <c r="BC421" s="69"/>
      <c r="BE421" s="71"/>
    </row>
    <row r="422" spans="4:57" ht="11.25" hidden="1">
      <c r="D422" s="13"/>
      <c r="BB422" s="58"/>
      <c r="BC422" s="69"/>
      <c r="BE422" s="71"/>
    </row>
    <row r="423" spans="4:57" ht="11.25" hidden="1">
      <c r="D423" s="13"/>
      <c r="BB423" s="58"/>
      <c r="BC423" s="69"/>
      <c r="BE423" s="71"/>
    </row>
    <row r="424" spans="4:57" ht="11.25" hidden="1">
      <c r="D424" s="13"/>
      <c r="BB424" s="58"/>
      <c r="BC424" s="69"/>
      <c r="BE424" s="71"/>
    </row>
    <row r="425" spans="4:57" ht="11.25" hidden="1">
      <c r="D425" s="13"/>
      <c r="BB425" s="58"/>
      <c r="BC425" s="69"/>
      <c r="BE425" s="71"/>
    </row>
    <row r="426" spans="4:57" ht="11.25" hidden="1">
      <c r="D426" s="13"/>
      <c r="BB426" s="58"/>
      <c r="BC426" s="69"/>
      <c r="BE426" s="71"/>
    </row>
    <row r="427" spans="4:57" ht="11.25" hidden="1">
      <c r="D427" s="13"/>
      <c r="BB427" s="58"/>
      <c r="BC427" s="69"/>
      <c r="BE427" s="71"/>
    </row>
    <row r="428" spans="4:57" ht="11.25" hidden="1">
      <c r="D428" s="13"/>
      <c r="BB428" s="58"/>
      <c r="BC428" s="69"/>
      <c r="BE428" s="71"/>
    </row>
    <row r="429" spans="4:57" ht="11.25" hidden="1">
      <c r="D429" s="13"/>
      <c r="BB429" s="58"/>
      <c r="BC429" s="69"/>
      <c r="BE429" s="71"/>
    </row>
    <row r="430" spans="4:57" ht="11.25" hidden="1">
      <c r="D430" s="13"/>
      <c r="BB430" s="58"/>
      <c r="BC430" s="69"/>
      <c r="BE430" s="71"/>
    </row>
    <row r="431" spans="4:57" ht="11.25" hidden="1">
      <c r="D431" s="13"/>
      <c r="BB431" s="58"/>
      <c r="BC431" s="69"/>
      <c r="BE431" s="71"/>
    </row>
    <row r="432" spans="4:57" ht="11.25" hidden="1">
      <c r="D432" s="13"/>
      <c r="BB432" s="58"/>
      <c r="BC432" s="69"/>
      <c r="BE432" s="71"/>
    </row>
    <row r="433" spans="4:57" ht="11.25" hidden="1">
      <c r="D433" s="13"/>
      <c r="BB433" s="58"/>
      <c r="BC433" s="69"/>
      <c r="BE433" s="71"/>
    </row>
    <row r="434" spans="4:57" ht="11.25" hidden="1">
      <c r="D434" s="13"/>
      <c r="BB434" s="58"/>
      <c r="BC434" s="69"/>
      <c r="BE434" s="71"/>
    </row>
    <row r="435" spans="4:57" ht="11.25" hidden="1">
      <c r="D435" s="13"/>
      <c r="BB435" s="58"/>
      <c r="BC435" s="69"/>
      <c r="BE435" s="71"/>
    </row>
    <row r="436" spans="4:57" ht="11.25" hidden="1">
      <c r="D436" s="13"/>
      <c r="BB436" s="58"/>
      <c r="BC436" s="69"/>
      <c r="BE436" s="71"/>
    </row>
    <row r="437" spans="4:57" ht="11.25" hidden="1">
      <c r="D437" s="13"/>
      <c r="BB437" s="58"/>
      <c r="BC437" s="69"/>
      <c r="BE437" s="71"/>
    </row>
    <row r="438" spans="4:57" ht="11.25" hidden="1">
      <c r="D438" s="13"/>
      <c r="BB438" s="58"/>
      <c r="BC438" s="69"/>
      <c r="BE438" s="71"/>
    </row>
    <row r="439" spans="4:57" ht="11.25" hidden="1">
      <c r="D439" s="13"/>
      <c r="BB439" s="58"/>
      <c r="BC439" s="69"/>
      <c r="BE439" s="71"/>
    </row>
    <row r="440" spans="4:57" ht="11.25" hidden="1">
      <c r="D440" s="13"/>
      <c r="BB440" s="58"/>
      <c r="BC440" s="69"/>
      <c r="BE440" s="71"/>
    </row>
    <row r="441" spans="4:57" ht="11.25" hidden="1">
      <c r="D441" s="13"/>
      <c r="BB441" s="58"/>
      <c r="BC441" s="69"/>
      <c r="BE441" s="71"/>
    </row>
    <row r="442" spans="4:57" ht="11.25" hidden="1">
      <c r="D442" s="13"/>
      <c r="BB442" s="58"/>
      <c r="BC442" s="69"/>
      <c r="BE442" s="71"/>
    </row>
    <row r="443" spans="4:57" ht="11.25" hidden="1">
      <c r="D443" s="13"/>
      <c r="BB443" s="58"/>
      <c r="BC443" s="69"/>
      <c r="BE443" s="71"/>
    </row>
    <row r="444" spans="4:57" ht="11.25" hidden="1">
      <c r="D444" s="13"/>
      <c r="BB444" s="58"/>
      <c r="BC444" s="69"/>
      <c r="BE444" s="71"/>
    </row>
    <row r="445" spans="4:57" ht="11.25" hidden="1">
      <c r="D445" s="13"/>
      <c r="BB445" s="58"/>
      <c r="BC445" s="69"/>
      <c r="BE445" s="71"/>
    </row>
    <row r="446" spans="4:57" ht="11.25" hidden="1">
      <c r="D446" s="13"/>
      <c r="BB446" s="58"/>
      <c r="BC446" s="69"/>
      <c r="BE446" s="71"/>
    </row>
    <row r="447" spans="4:57" ht="11.25" hidden="1">
      <c r="D447" s="13"/>
      <c r="BB447" s="58"/>
      <c r="BC447" s="69"/>
      <c r="BE447" s="71"/>
    </row>
    <row r="448" spans="4:57" ht="11.25" hidden="1">
      <c r="D448" s="13"/>
      <c r="BB448" s="58"/>
      <c r="BC448" s="69"/>
      <c r="BE448" s="71"/>
    </row>
    <row r="449" spans="4:57" ht="11.25" hidden="1">
      <c r="D449" s="13"/>
      <c r="BB449" s="58"/>
      <c r="BC449" s="69"/>
      <c r="BE449" s="71"/>
    </row>
    <row r="450" spans="4:57" ht="11.25" hidden="1">
      <c r="D450" s="13"/>
      <c r="BB450" s="58"/>
      <c r="BC450" s="69"/>
      <c r="BE450" s="71"/>
    </row>
    <row r="451" spans="4:57" ht="11.25" hidden="1">
      <c r="D451" s="13"/>
      <c r="BB451" s="58"/>
      <c r="BC451" s="69"/>
      <c r="BE451" s="71"/>
    </row>
    <row r="452" spans="4:57" ht="11.25" hidden="1">
      <c r="D452" s="13"/>
      <c r="BB452" s="58"/>
      <c r="BC452" s="69"/>
      <c r="BE452" s="71"/>
    </row>
    <row r="453" spans="4:57" ht="11.25" hidden="1">
      <c r="D453" s="13"/>
      <c r="BB453" s="58"/>
      <c r="BC453" s="69"/>
      <c r="BE453" s="71"/>
    </row>
    <row r="454" spans="4:57" ht="11.25" hidden="1">
      <c r="D454" s="13"/>
      <c r="BB454" s="58"/>
      <c r="BC454" s="69"/>
      <c r="BE454" s="71"/>
    </row>
    <row r="455" spans="4:57" ht="11.25" hidden="1">
      <c r="D455" s="13"/>
      <c r="BB455" s="58"/>
      <c r="BC455" s="69"/>
      <c r="BE455" s="71"/>
    </row>
    <row r="456" spans="4:57" ht="11.25" hidden="1">
      <c r="D456" s="13"/>
      <c r="BB456" s="58"/>
      <c r="BC456" s="69"/>
      <c r="BE456" s="71"/>
    </row>
    <row r="457" spans="4:57" ht="11.25" hidden="1">
      <c r="D457" s="13"/>
      <c r="BB457" s="58"/>
      <c r="BC457" s="69"/>
      <c r="BE457" s="71"/>
    </row>
    <row r="458" spans="4:57" ht="11.25" hidden="1">
      <c r="D458" s="13"/>
      <c r="BB458" s="58"/>
      <c r="BC458" s="69"/>
      <c r="BE458" s="71"/>
    </row>
    <row r="459" spans="4:57" ht="11.25" hidden="1">
      <c r="D459" s="13"/>
      <c r="BB459" s="58"/>
      <c r="BC459" s="69"/>
      <c r="BE459" s="71"/>
    </row>
    <row r="460" spans="4:57" ht="11.25" hidden="1">
      <c r="D460" s="13"/>
      <c r="BB460" s="58"/>
      <c r="BC460" s="69"/>
      <c r="BE460" s="71"/>
    </row>
    <row r="461" spans="4:57" ht="11.25" hidden="1">
      <c r="D461" s="13"/>
      <c r="BB461" s="58"/>
      <c r="BC461" s="69"/>
      <c r="BE461" s="71"/>
    </row>
    <row r="462" spans="4:57" ht="11.25" hidden="1">
      <c r="D462" s="13"/>
      <c r="BB462" s="58"/>
      <c r="BC462" s="69"/>
      <c r="BE462" s="71"/>
    </row>
    <row r="463" spans="4:57" ht="11.25" hidden="1">
      <c r="D463" s="13"/>
      <c r="BB463" s="58"/>
      <c r="BC463" s="69"/>
      <c r="BE463" s="71"/>
    </row>
    <row r="464" spans="4:57" ht="11.25" hidden="1">
      <c r="D464" s="13"/>
      <c r="BB464" s="58"/>
      <c r="BC464" s="69"/>
      <c r="BE464" s="71"/>
    </row>
    <row r="465" spans="4:57" ht="11.25" hidden="1">
      <c r="D465" s="13"/>
      <c r="BB465" s="58"/>
      <c r="BC465" s="69"/>
      <c r="BE465" s="71"/>
    </row>
    <row r="466" spans="4:57" ht="11.25" hidden="1">
      <c r="D466" s="13"/>
      <c r="BB466" s="58"/>
      <c r="BC466" s="69"/>
      <c r="BE466" s="71"/>
    </row>
    <row r="467" spans="4:57" ht="11.25" hidden="1">
      <c r="D467" s="13"/>
      <c r="BB467" s="58"/>
      <c r="BC467" s="69"/>
      <c r="BE467" s="71"/>
    </row>
    <row r="468" spans="4:57" ht="11.25" hidden="1">
      <c r="D468" s="13"/>
      <c r="BB468" s="58"/>
      <c r="BC468" s="69"/>
      <c r="BE468" s="71"/>
    </row>
    <row r="469" spans="4:57" ht="11.25" hidden="1">
      <c r="D469" s="13"/>
      <c r="BB469" s="58"/>
      <c r="BC469" s="69"/>
      <c r="BE469" s="71"/>
    </row>
    <row r="470" spans="4:57" ht="11.25" hidden="1">
      <c r="D470" s="13"/>
      <c r="BB470" s="58"/>
      <c r="BC470" s="69"/>
      <c r="BE470" s="71"/>
    </row>
    <row r="471" spans="4:57" ht="11.25" hidden="1">
      <c r="D471" s="13"/>
      <c r="BB471" s="58"/>
      <c r="BC471" s="69"/>
      <c r="BE471" s="71"/>
    </row>
    <row r="472" spans="4:57" ht="11.25" hidden="1">
      <c r="D472" s="13"/>
      <c r="BB472" s="58"/>
      <c r="BC472" s="69"/>
      <c r="BE472" s="71"/>
    </row>
    <row r="473" spans="4:57" ht="11.25" hidden="1">
      <c r="D473" s="13"/>
      <c r="BB473" s="58"/>
      <c r="BC473" s="69"/>
      <c r="BE473" s="71"/>
    </row>
    <row r="474" spans="4:57" ht="11.25" hidden="1">
      <c r="D474" s="13"/>
      <c r="BB474" s="58"/>
      <c r="BC474" s="69"/>
      <c r="BE474" s="71"/>
    </row>
    <row r="475" spans="4:57" ht="11.25" hidden="1">
      <c r="D475" s="13"/>
      <c r="BB475" s="58"/>
      <c r="BC475" s="69"/>
      <c r="BE475" s="71"/>
    </row>
    <row r="476" spans="4:57" ht="11.25" hidden="1">
      <c r="D476" s="13"/>
      <c r="BB476" s="58"/>
      <c r="BC476" s="69"/>
      <c r="BE476" s="71"/>
    </row>
    <row r="477" spans="4:57" ht="11.25" hidden="1">
      <c r="D477" s="13"/>
      <c r="BB477" s="58"/>
      <c r="BC477" s="69"/>
      <c r="BE477" s="71"/>
    </row>
    <row r="478" spans="4:57" ht="11.25" hidden="1">
      <c r="D478" s="13"/>
      <c r="BB478" s="58"/>
      <c r="BC478" s="69"/>
      <c r="BE478" s="71"/>
    </row>
    <row r="479" spans="4:57" ht="11.25" hidden="1">
      <c r="D479" s="13"/>
      <c r="BB479" s="58"/>
      <c r="BC479" s="69"/>
      <c r="BE479" s="71"/>
    </row>
    <row r="480" spans="4:57" ht="11.25" hidden="1">
      <c r="D480" s="13"/>
      <c r="BB480" s="58"/>
      <c r="BC480" s="69"/>
      <c r="BE480" s="71"/>
    </row>
    <row r="481" spans="4:57" ht="11.25" hidden="1">
      <c r="D481" s="13"/>
      <c r="BB481" s="58"/>
      <c r="BC481" s="69"/>
      <c r="BE481" s="71"/>
    </row>
    <row r="482" spans="4:57" ht="11.25" hidden="1">
      <c r="D482" s="13"/>
      <c r="BB482" s="58"/>
      <c r="BC482" s="69"/>
      <c r="BE482" s="71"/>
    </row>
    <row r="483" spans="4:57" ht="11.25" hidden="1">
      <c r="D483" s="13"/>
      <c r="BB483" s="58"/>
      <c r="BC483" s="69"/>
      <c r="BE483" s="71"/>
    </row>
    <row r="484" spans="4:57" ht="11.25" hidden="1">
      <c r="D484" s="13"/>
      <c r="BB484" s="58"/>
      <c r="BC484" s="69"/>
      <c r="BE484" s="71"/>
    </row>
    <row r="485" spans="4:57" ht="11.25" hidden="1">
      <c r="D485" s="13"/>
      <c r="BB485" s="58"/>
      <c r="BC485" s="69"/>
      <c r="BE485" s="71"/>
    </row>
    <row r="486" spans="4:57" ht="11.25" hidden="1">
      <c r="D486" s="13"/>
      <c r="BB486" s="58"/>
      <c r="BC486" s="69"/>
      <c r="BE486" s="71"/>
    </row>
    <row r="487" spans="4:57" ht="11.25" hidden="1">
      <c r="D487" s="13"/>
      <c r="BB487" s="58"/>
      <c r="BC487" s="69"/>
      <c r="BE487" s="71"/>
    </row>
    <row r="488" spans="4:57" ht="11.25" hidden="1">
      <c r="D488" s="13"/>
      <c r="BB488" s="58"/>
      <c r="BC488" s="69"/>
      <c r="BE488" s="71"/>
    </row>
    <row r="489" spans="4:57" ht="11.25" hidden="1">
      <c r="D489" s="13"/>
      <c r="BB489" s="58"/>
      <c r="BC489" s="69"/>
      <c r="BE489" s="71"/>
    </row>
    <row r="490" spans="4:57" ht="11.25" hidden="1">
      <c r="D490" s="13"/>
      <c r="BB490" s="58"/>
      <c r="BC490" s="69"/>
      <c r="BE490" s="71"/>
    </row>
    <row r="491" spans="4:57" ht="11.25" hidden="1">
      <c r="D491" s="13"/>
      <c r="BB491" s="58"/>
      <c r="BC491" s="69"/>
      <c r="BE491" s="71"/>
    </row>
    <row r="492" spans="4:57" ht="11.25" hidden="1">
      <c r="D492" s="13"/>
      <c r="BB492" s="58"/>
      <c r="BC492" s="69"/>
      <c r="BE492" s="71"/>
    </row>
    <row r="493" spans="4:57" ht="11.25" hidden="1">
      <c r="D493" s="13"/>
      <c r="BB493" s="58"/>
      <c r="BC493" s="69"/>
      <c r="BE493" s="71"/>
    </row>
    <row r="494" spans="4:57" ht="11.25" hidden="1">
      <c r="D494" s="13"/>
      <c r="BB494" s="58"/>
      <c r="BC494" s="69"/>
      <c r="BE494" s="71"/>
    </row>
    <row r="495" spans="4:57" ht="11.25" hidden="1">
      <c r="D495" s="13"/>
      <c r="BB495" s="58"/>
      <c r="BC495" s="69"/>
      <c r="BE495" s="71"/>
    </row>
    <row r="496" spans="4:57" ht="11.25" hidden="1">
      <c r="D496" s="13"/>
      <c r="BB496" s="58"/>
      <c r="BC496" s="69"/>
      <c r="BE496" s="71"/>
    </row>
    <row r="497" spans="4:57" ht="11.25" hidden="1">
      <c r="D497" s="13"/>
      <c r="BB497" s="58"/>
      <c r="BC497" s="69"/>
      <c r="BE497" s="71"/>
    </row>
    <row r="498" spans="4:57" ht="11.25" hidden="1">
      <c r="D498" s="13"/>
      <c r="BB498" s="58"/>
      <c r="BC498" s="69"/>
      <c r="BE498" s="71"/>
    </row>
    <row r="499" spans="4:57" ht="11.25" hidden="1">
      <c r="D499" s="13"/>
      <c r="BB499" s="58"/>
      <c r="BC499" s="69"/>
      <c r="BE499" s="71"/>
    </row>
    <row r="500" spans="4:57" ht="11.25" hidden="1">
      <c r="D500" s="13"/>
      <c r="BB500" s="58"/>
      <c r="BC500" s="69"/>
      <c r="BE500" s="71"/>
    </row>
    <row r="501" spans="4:57" ht="11.25" hidden="1">
      <c r="D501" s="13"/>
      <c r="BB501" s="58"/>
      <c r="BC501" s="69"/>
      <c r="BE501" s="71"/>
    </row>
    <row r="502" spans="4:57" ht="11.25" hidden="1">
      <c r="D502" s="13"/>
      <c r="BB502" s="58"/>
      <c r="BC502" s="69"/>
      <c r="BE502" s="71"/>
    </row>
    <row r="503" spans="4:57" ht="11.25" hidden="1">
      <c r="D503" s="13"/>
      <c r="BB503" s="58"/>
      <c r="BC503" s="69"/>
      <c r="BE503" s="71"/>
    </row>
    <row r="504" spans="4:57" ht="11.25" hidden="1">
      <c r="D504" s="13"/>
      <c r="BB504" s="58"/>
      <c r="BC504" s="69"/>
      <c r="BE504" s="71"/>
    </row>
    <row r="505" spans="4:57" ht="11.25" hidden="1">
      <c r="D505" s="13"/>
      <c r="BB505" s="58"/>
      <c r="BC505" s="69"/>
      <c r="BE505" s="71"/>
    </row>
    <row r="506" spans="4:57" ht="11.25" hidden="1">
      <c r="D506" s="13"/>
      <c r="BB506" s="58"/>
      <c r="BC506" s="69"/>
      <c r="BE506" s="71"/>
    </row>
    <row r="507" spans="4:57" ht="11.25" hidden="1">
      <c r="D507" s="13"/>
      <c r="BB507" s="58"/>
      <c r="BC507" s="69"/>
      <c r="BE507" s="71"/>
    </row>
    <row r="508" spans="4:57" ht="11.25" hidden="1">
      <c r="D508" s="13"/>
      <c r="BB508" s="58"/>
      <c r="BC508" s="69"/>
      <c r="BE508" s="71"/>
    </row>
    <row r="509" spans="4:57" ht="11.25" hidden="1">
      <c r="D509" s="13"/>
      <c r="BB509" s="58"/>
      <c r="BC509" s="69"/>
      <c r="BE509" s="71"/>
    </row>
    <row r="510" spans="4:57" ht="11.25" hidden="1">
      <c r="D510" s="13"/>
      <c r="BB510" s="58"/>
      <c r="BC510" s="69"/>
      <c r="BE510" s="71"/>
    </row>
    <row r="511" spans="4:57" ht="11.25" hidden="1">
      <c r="D511" s="13"/>
      <c r="BB511" s="58"/>
      <c r="BC511" s="69"/>
      <c r="BE511" s="71"/>
    </row>
    <row r="512" spans="4:57" ht="11.25" hidden="1">
      <c r="D512" s="13"/>
      <c r="BB512" s="58"/>
      <c r="BC512" s="69"/>
      <c r="BE512" s="71"/>
    </row>
    <row r="513" spans="4:57" ht="11.25" hidden="1">
      <c r="D513" s="13"/>
      <c r="BB513" s="58"/>
      <c r="BC513" s="69"/>
      <c r="BE513" s="71"/>
    </row>
    <row r="514" spans="4:57" ht="11.25" hidden="1">
      <c r="D514" s="13"/>
      <c r="BB514" s="58"/>
      <c r="BC514" s="69"/>
      <c r="BE514" s="71"/>
    </row>
    <row r="515" spans="4:57" ht="11.25" hidden="1">
      <c r="D515" s="13"/>
      <c r="BB515" s="58"/>
      <c r="BC515" s="69"/>
      <c r="BE515" s="71"/>
    </row>
    <row r="516" spans="4:57" ht="11.25" hidden="1">
      <c r="D516" s="13"/>
      <c r="BB516" s="58"/>
      <c r="BC516" s="69"/>
      <c r="BE516" s="71"/>
    </row>
    <row r="517" spans="4:57" ht="11.25" hidden="1">
      <c r="D517" s="13"/>
      <c r="BB517" s="58"/>
      <c r="BC517" s="69"/>
      <c r="BE517" s="71"/>
    </row>
    <row r="518" spans="4:57" ht="11.25" hidden="1">
      <c r="D518" s="13"/>
      <c r="BB518" s="58"/>
      <c r="BC518" s="69"/>
      <c r="BE518" s="71"/>
    </row>
    <row r="519" spans="4:57" ht="11.25" hidden="1">
      <c r="D519" s="13"/>
      <c r="BB519" s="58"/>
      <c r="BC519" s="69"/>
      <c r="BE519" s="71"/>
    </row>
    <row r="520" spans="4:57" ht="11.25" hidden="1">
      <c r="D520" s="13"/>
      <c r="BB520" s="58"/>
      <c r="BC520" s="69"/>
      <c r="BE520" s="71"/>
    </row>
    <row r="521" spans="4:57" ht="11.25" hidden="1">
      <c r="D521" s="13"/>
      <c r="BB521" s="58"/>
      <c r="BC521" s="69"/>
      <c r="BE521" s="71"/>
    </row>
    <row r="522" spans="4:57" ht="11.25" hidden="1">
      <c r="D522" s="13"/>
      <c r="BB522" s="58"/>
      <c r="BC522" s="69"/>
      <c r="BE522" s="71"/>
    </row>
    <row r="523" spans="4:57" ht="11.25" hidden="1">
      <c r="D523" s="13"/>
      <c r="BB523" s="58"/>
      <c r="BC523" s="69"/>
      <c r="BE523" s="71"/>
    </row>
    <row r="524" spans="4:57" ht="11.25" hidden="1">
      <c r="D524" s="13"/>
      <c r="BB524" s="58"/>
      <c r="BC524" s="69"/>
      <c r="BE524" s="71"/>
    </row>
    <row r="525" spans="4:57" ht="11.25" hidden="1">
      <c r="D525" s="13"/>
      <c r="BB525" s="58"/>
      <c r="BC525" s="69"/>
      <c r="BE525" s="71"/>
    </row>
    <row r="526" spans="4:57" ht="11.25" hidden="1">
      <c r="D526" s="13"/>
      <c r="BB526" s="58"/>
      <c r="BC526" s="69"/>
      <c r="BE526" s="71"/>
    </row>
    <row r="527" spans="4:57" ht="11.25" hidden="1">
      <c r="D527" s="13"/>
      <c r="BB527" s="58"/>
      <c r="BC527" s="69"/>
      <c r="BE527" s="71"/>
    </row>
    <row r="528" spans="4:57" ht="11.25" hidden="1">
      <c r="D528" s="13"/>
      <c r="BB528" s="58"/>
      <c r="BC528" s="69"/>
      <c r="BE528" s="71"/>
    </row>
    <row r="529" spans="4:57" ht="11.25" hidden="1">
      <c r="D529" s="13"/>
      <c r="BB529" s="58"/>
      <c r="BC529" s="69"/>
      <c r="BE529" s="71"/>
    </row>
    <row r="530" spans="4:57" ht="11.25" hidden="1">
      <c r="D530" s="13"/>
      <c r="BB530" s="58"/>
      <c r="BC530" s="69"/>
      <c r="BE530" s="71"/>
    </row>
    <row r="531" spans="4:57" ht="11.25" hidden="1">
      <c r="D531" s="13"/>
      <c r="BB531" s="58"/>
      <c r="BC531" s="69"/>
      <c r="BE531" s="71"/>
    </row>
    <row r="532" spans="4:57" ht="11.25" hidden="1">
      <c r="D532" s="13"/>
      <c r="BB532" s="58"/>
      <c r="BC532" s="69"/>
      <c r="BE532" s="71"/>
    </row>
    <row r="533" spans="4:57" ht="11.25" hidden="1">
      <c r="D533" s="13"/>
      <c r="BB533" s="58"/>
      <c r="BC533" s="69"/>
      <c r="BE533" s="71"/>
    </row>
    <row r="534" spans="4:57" ht="11.25" hidden="1">
      <c r="D534" s="13"/>
      <c r="BB534" s="58"/>
      <c r="BC534" s="69"/>
      <c r="BE534" s="71"/>
    </row>
    <row r="535" spans="4:57" ht="11.25" hidden="1">
      <c r="D535" s="13"/>
      <c r="BB535" s="58"/>
      <c r="BC535" s="69"/>
      <c r="BE535" s="71"/>
    </row>
    <row r="536" spans="4:57" ht="11.25" hidden="1">
      <c r="D536" s="13"/>
      <c r="BB536" s="58"/>
      <c r="BC536" s="69"/>
      <c r="BE536" s="71"/>
    </row>
    <row r="537" spans="4:57" ht="11.25" hidden="1">
      <c r="D537" s="13"/>
      <c r="BB537" s="58"/>
      <c r="BC537" s="69"/>
      <c r="BE537" s="71"/>
    </row>
    <row r="538" spans="4:57" ht="11.25" hidden="1">
      <c r="D538" s="13"/>
      <c r="BB538" s="58"/>
      <c r="BC538" s="69"/>
      <c r="BE538" s="71"/>
    </row>
    <row r="539" spans="4:57" ht="11.25" hidden="1">
      <c r="D539" s="13"/>
      <c r="BB539" s="58"/>
      <c r="BC539" s="69"/>
      <c r="BE539" s="71"/>
    </row>
    <row r="540" spans="4:57" ht="11.25" hidden="1">
      <c r="D540" s="13"/>
      <c r="BB540" s="58"/>
      <c r="BC540" s="69"/>
      <c r="BE540" s="71"/>
    </row>
    <row r="541" spans="4:57" ht="11.25" hidden="1">
      <c r="D541" s="13"/>
      <c r="BB541" s="58"/>
      <c r="BC541" s="69"/>
      <c r="BE541" s="71"/>
    </row>
    <row r="542" spans="4:57" ht="11.25" hidden="1">
      <c r="D542" s="13"/>
      <c r="BB542" s="58"/>
      <c r="BC542" s="69"/>
      <c r="BE542" s="71"/>
    </row>
    <row r="543" spans="4:57" ht="11.25" hidden="1">
      <c r="D543" s="13"/>
      <c r="BB543" s="58"/>
      <c r="BC543" s="69"/>
      <c r="BE543" s="71"/>
    </row>
    <row r="544" spans="4:57" ht="11.25" hidden="1">
      <c r="D544" s="13"/>
      <c r="BB544" s="58"/>
      <c r="BC544" s="69"/>
      <c r="BE544" s="71"/>
    </row>
    <row r="545" spans="4:57" ht="11.25" hidden="1">
      <c r="D545" s="13"/>
      <c r="BB545" s="58"/>
      <c r="BC545" s="69"/>
      <c r="BE545" s="71"/>
    </row>
    <row r="546" spans="4:57" ht="11.25" hidden="1">
      <c r="D546" s="13"/>
      <c r="BB546" s="58"/>
      <c r="BC546" s="69"/>
      <c r="BE546" s="71"/>
    </row>
    <row r="547" spans="4:57" ht="11.25" hidden="1">
      <c r="D547" s="13"/>
      <c r="BB547" s="58"/>
      <c r="BC547" s="69"/>
      <c r="BE547" s="71"/>
    </row>
    <row r="548" spans="4:57" ht="11.25" hidden="1">
      <c r="D548" s="13"/>
      <c r="BB548" s="58"/>
      <c r="BC548" s="69"/>
      <c r="BE548" s="71"/>
    </row>
    <row r="549" spans="4:57" ht="11.25" hidden="1">
      <c r="D549" s="13"/>
      <c r="BB549" s="58"/>
      <c r="BC549" s="69"/>
      <c r="BE549" s="71"/>
    </row>
    <row r="550" spans="4:57" ht="11.25" hidden="1">
      <c r="D550" s="13"/>
      <c r="BB550" s="58"/>
      <c r="BC550" s="69"/>
      <c r="BE550" s="71"/>
    </row>
    <row r="551" spans="4:57" ht="11.25" hidden="1">
      <c r="D551" s="13"/>
      <c r="BB551" s="58"/>
      <c r="BC551" s="69"/>
      <c r="BE551" s="71"/>
    </row>
    <row r="552" spans="4:57" ht="11.25" hidden="1">
      <c r="D552" s="13"/>
      <c r="BB552" s="58"/>
      <c r="BC552" s="69"/>
      <c r="BE552" s="71"/>
    </row>
    <row r="553" spans="4:57" ht="11.25" hidden="1">
      <c r="D553" s="13"/>
      <c r="BB553" s="58"/>
      <c r="BC553" s="69"/>
      <c r="BE553" s="71"/>
    </row>
    <row r="554" spans="4:57" ht="11.25" hidden="1">
      <c r="D554" s="13"/>
      <c r="BB554" s="58"/>
      <c r="BC554" s="69"/>
      <c r="BE554" s="71"/>
    </row>
    <row r="555" spans="4:57" ht="11.25" hidden="1">
      <c r="D555" s="13"/>
      <c r="BB555" s="58"/>
      <c r="BC555" s="69"/>
      <c r="BE555" s="71"/>
    </row>
    <row r="556" spans="4:57" ht="11.25" hidden="1">
      <c r="D556" s="13"/>
      <c r="BB556" s="58"/>
      <c r="BC556" s="69"/>
      <c r="BE556" s="71"/>
    </row>
    <row r="557" spans="4:57" ht="11.25" hidden="1">
      <c r="D557" s="13"/>
      <c r="BB557" s="58"/>
      <c r="BC557" s="69"/>
      <c r="BE557" s="71"/>
    </row>
    <row r="558" spans="4:57" ht="11.25" hidden="1">
      <c r="D558" s="13"/>
      <c r="BB558" s="58"/>
      <c r="BC558" s="69"/>
      <c r="BE558" s="71"/>
    </row>
    <row r="559" spans="4:57" ht="11.25" hidden="1">
      <c r="D559" s="13"/>
      <c r="BB559" s="58"/>
      <c r="BC559" s="69"/>
      <c r="BE559" s="71"/>
    </row>
    <row r="560" spans="4:57" ht="11.25" hidden="1">
      <c r="D560" s="13"/>
      <c r="BB560" s="58"/>
      <c r="BC560" s="69"/>
      <c r="BE560" s="71"/>
    </row>
    <row r="561" spans="4:57" ht="11.25" hidden="1">
      <c r="D561" s="13"/>
      <c r="BB561" s="58"/>
      <c r="BC561" s="69"/>
      <c r="BE561" s="71"/>
    </row>
    <row r="562" spans="4:57" ht="11.25" hidden="1">
      <c r="D562" s="13"/>
      <c r="BB562" s="58"/>
      <c r="BC562" s="69"/>
      <c r="BE562" s="71"/>
    </row>
    <row r="563" spans="4:57" ht="11.25" hidden="1">
      <c r="D563" s="13"/>
      <c r="BB563" s="58"/>
      <c r="BC563" s="69"/>
      <c r="BE563" s="71"/>
    </row>
    <row r="564" spans="4:57" ht="11.25" hidden="1">
      <c r="D564" s="13"/>
      <c r="BB564" s="58"/>
      <c r="BC564" s="69"/>
      <c r="BE564" s="71"/>
    </row>
    <row r="565" spans="4:57" ht="11.25" hidden="1">
      <c r="D565" s="13"/>
      <c r="BB565" s="58"/>
      <c r="BC565" s="69"/>
      <c r="BE565" s="71"/>
    </row>
    <row r="566" spans="4:57" ht="11.25" hidden="1">
      <c r="D566" s="13"/>
      <c r="BB566" s="58"/>
      <c r="BC566" s="69"/>
      <c r="BE566" s="71"/>
    </row>
    <row r="567" spans="4:57" ht="11.25" hidden="1">
      <c r="D567" s="13"/>
      <c r="BB567" s="58"/>
      <c r="BC567" s="69"/>
      <c r="BE567" s="71"/>
    </row>
    <row r="568" spans="4:57" ht="11.25" hidden="1">
      <c r="D568" s="13"/>
      <c r="BB568" s="58"/>
      <c r="BC568" s="69"/>
      <c r="BE568" s="71"/>
    </row>
    <row r="569" spans="4:57" ht="11.25" hidden="1">
      <c r="D569" s="13"/>
      <c r="BB569" s="58"/>
      <c r="BC569" s="69"/>
      <c r="BE569" s="71"/>
    </row>
    <row r="570" spans="4:57" ht="11.25" hidden="1">
      <c r="D570" s="13"/>
      <c r="BB570" s="58"/>
      <c r="BC570" s="69"/>
      <c r="BE570" s="71"/>
    </row>
    <row r="571" spans="4:57" ht="11.25" hidden="1">
      <c r="D571" s="13"/>
      <c r="BB571" s="58"/>
      <c r="BC571" s="69"/>
      <c r="BE571" s="71"/>
    </row>
    <row r="572" spans="4:57" ht="11.25" hidden="1">
      <c r="D572" s="13"/>
      <c r="BB572" s="58"/>
      <c r="BC572" s="69"/>
      <c r="BE572" s="71"/>
    </row>
    <row r="573" spans="4:57" ht="11.25" hidden="1">
      <c r="D573" s="13"/>
      <c r="BB573" s="58"/>
      <c r="BC573" s="69"/>
      <c r="BE573" s="71"/>
    </row>
    <row r="574" spans="4:57" ht="11.25" hidden="1">
      <c r="D574" s="13"/>
      <c r="BB574" s="58"/>
      <c r="BC574" s="69"/>
      <c r="BE574" s="71"/>
    </row>
    <row r="575" spans="4:57" ht="11.25" hidden="1">
      <c r="D575" s="13"/>
      <c r="BB575" s="58"/>
      <c r="BC575" s="69"/>
      <c r="BE575" s="71"/>
    </row>
    <row r="576" spans="4:57" ht="11.25" hidden="1">
      <c r="D576" s="13"/>
      <c r="BB576" s="58"/>
      <c r="BC576" s="69"/>
      <c r="BE576" s="71"/>
    </row>
    <row r="577" spans="4:57" ht="11.25" hidden="1">
      <c r="D577" s="13"/>
      <c r="BB577" s="58"/>
      <c r="BC577" s="69"/>
      <c r="BE577" s="71"/>
    </row>
    <row r="578" spans="4:57" ht="11.25" hidden="1">
      <c r="D578" s="13"/>
      <c r="BB578" s="58"/>
      <c r="BC578" s="69"/>
      <c r="BE578" s="71"/>
    </row>
    <row r="579" spans="4:57" ht="11.25" hidden="1">
      <c r="D579" s="13"/>
      <c r="BB579" s="58"/>
      <c r="BC579" s="69"/>
      <c r="BE579" s="71"/>
    </row>
    <row r="580" spans="4:57" ht="11.25" hidden="1">
      <c r="D580" s="13"/>
      <c r="BB580" s="58"/>
      <c r="BC580" s="69"/>
      <c r="BE580" s="71"/>
    </row>
    <row r="581" spans="4:57" ht="11.25" hidden="1">
      <c r="D581" s="13"/>
      <c r="BB581" s="58"/>
      <c r="BC581" s="69"/>
      <c r="BE581" s="71"/>
    </row>
    <row r="582" spans="4:57" ht="11.25" hidden="1">
      <c r="D582" s="13"/>
      <c r="BB582" s="58"/>
      <c r="BC582" s="69"/>
      <c r="BE582" s="71"/>
    </row>
    <row r="583" spans="4:57" ht="11.25" hidden="1">
      <c r="D583" s="13"/>
      <c r="BB583" s="58"/>
      <c r="BC583" s="69"/>
      <c r="BE583" s="71"/>
    </row>
    <row r="584" spans="4:57" ht="11.25" hidden="1">
      <c r="D584" s="13"/>
      <c r="BB584" s="58"/>
      <c r="BC584" s="69"/>
      <c r="BE584" s="71"/>
    </row>
    <row r="585" spans="4:57" ht="11.25" hidden="1">
      <c r="D585" s="13"/>
      <c r="BB585" s="58"/>
      <c r="BC585" s="69"/>
      <c r="BE585" s="71"/>
    </row>
    <row r="586" spans="4:57" ht="11.25" hidden="1">
      <c r="D586" s="13"/>
      <c r="BB586" s="58"/>
      <c r="BC586" s="69"/>
      <c r="BE586" s="71"/>
    </row>
    <row r="587" spans="4:57" ht="11.25" hidden="1">
      <c r="D587" s="13"/>
      <c r="BB587" s="58"/>
      <c r="BC587" s="69"/>
      <c r="BE587" s="71"/>
    </row>
    <row r="588" spans="4:57" ht="11.25" hidden="1">
      <c r="D588" s="13"/>
      <c r="BB588" s="58"/>
      <c r="BC588" s="69"/>
      <c r="BE588" s="71"/>
    </row>
    <row r="589" spans="4:57" ht="11.25" hidden="1">
      <c r="D589" s="13"/>
      <c r="BB589" s="58"/>
      <c r="BC589" s="69"/>
      <c r="BE589" s="71"/>
    </row>
    <row r="590" spans="4:57" ht="11.25" hidden="1">
      <c r="D590" s="13"/>
      <c r="BB590" s="58"/>
      <c r="BC590" s="69"/>
      <c r="BE590" s="71"/>
    </row>
    <row r="591" spans="4:57" ht="11.25" hidden="1">
      <c r="D591" s="13"/>
      <c r="BB591" s="58"/>
      <c r="BC591" s="69"/>
      <c r="BE591" s="71"/>
    </row>
    <row r="592" spans="4:57" ht="11.25" hidden="1">
      <c r="D592" s="13"/>
      <c r="BB592" s="58"/>
      <c r="BC592" s="69"/>
      <c r="BE592" s="71"/>
    </row>
    <row r="593" spans="4:57" ht="11.25" hidden="1">
      <c r="D593" s="13"/>
      <c r="BB593" s="58"/>
      <c r="BC593" s="69"/>
      <c r="BE593" s="71"/>
    </row>
    <row r="594" spans="4:57" ht="11.25" hidden="1">
      <c r="D594" s="13"/>
      <c r="BB594" s="58"/>
      <c r="BC594" s="69"/>
      <c r="BE594" s="71"/>
    </row>
    <row r="595" spans="4:57" ht="11.25" hidden="1">
      <c r="D595" s="13"/>
      <c r="BB595" s="58"/>
      <c r="BC595" s="69"/>
      <c r="BE595" s="71"/>
    </row>
    <row r="596" spans="4:57" ht="11.25" hidden="1">
      <c r="D596" s="13"/>
      <c r="BB596" s="58"/>
      <c r="BC596" s="69"/>
      <c r="BE596" s="71"/>
    </row>
    <row r="597" spans="4:57" ht="11.25" hidden="1">
      <c r="D597" s="13"/>
      <c r="BB597" s="58"/>
      <c r="BC597" s="69"/>
      <c r="BE597" s="71"/>
    </row>
    <row r="598" spans="4:57" ht="11.25" hidden="1">
      <c r="D598" s="13"/>
      <c r="BB598" s="58"/>
      <c r="BC598" s="69"/>
      <c r="BE598" s="71"/>
    </row>
    <row r="599" spans="4:57" ht="11.25" hidden="1">
      <c r="D599" s="13"/>
      <c r="BB599" s="58"/>
      <c r="BC599" s="69"/>
      <c r="BE599" s="71"/>
    </row>
    <row r="600" spans="4:57" ht="11.25" hidden="1">
      <c r="D600" s="13"/>
      <c r="BB600" s="58"/>
      <c r="BC600" s="69"/>
      <c r="BE600" s="71"/>
    </row>
    <row r="601" spans="4:57" ht="11.25" hidden="1">
      <c r="D601" s="13"/>
      <c r="BB601" s="58"/>
      <c r="BC601" s="69"/>
      <c r="BE601" s="71"/>
    </row>
    <row r="602" spans="4:57" ht="11.25" hidden="1">
      <c r="D602" s="13"/>
      <c r="BB602" s="58"/>
      <c r="BC602" s="69"/>
      <c r="BE602" s="71"/>
    </row>
    <row r="603" spans="4:57" ht="11.25" hidden="1">
      <c r="D603" s="13"/>
      <c r="BB603" s="58"/>
      <c r="BC603" s="69"/>
      <c r="BE603" s="71"/>
    </row>
    <row r="604" spans="4:57" ht="11.25" hidden="1">
      <c r="D604" s="13"/>
      <c r="BB604" s="58"/>
      <c r="BC604" s="69"/>
      <c r="BE604" s="71"/>
    </row>
    <row r="605" spans="4:57" ht="11.25" hidden="1">
      <c r="D605" s="13"/>
      <c r="BB605" s="58"/>
      <c r="BC605" s="69"/>
      <c r="BE605" s="71"/>
    </row>
    <row r="606" spans="4:57" ht="11.25" hidden="1">
      <c r="D606" s="13"/>
      <c r="BB606" s="58"/>
      <c r="BC606" s="69"/>
      <c r="BE606" s="71"/>
    </row>
    <row r="607" spans="4:57" ht="11.25" hidden="1">
      <c r="D607" s="13"/>
      <c r="BB607" s="58"/>
      <c r="BC607" s="69"/>
      <c r="BE607" s="71"/>
    </row>
    <row r="608" spans="55:57" ht="11.25" hidden="1">
      <c r="BC608" s="69"/>
      <c r="BE608" s="71"/>
    </row>
    <row r="609" spans="55:57" ht="11.25" hidden="1">
      <c r="BC609" s="69"/>
      <c r="BE609" s="71"/>
    </row>
    <row r="610" spans="55:57" ht="11.25" hidden="1">
      <c r="BC610" s="69"/>
      <c r="BE610" s="71"/>
    </row>
    <row r="611" spans="55:57" ht="11.25" hidden="1">
      <c r="BC611" s="69"/>
      <c r="BE611" s="71"/>
    </row>
    <row r="612" spans="55:57" ht="11.25" hidden="1">
      <c r="BC612" s="69"/>
      <c r="BE612" s="71"/>
    </row>
    <row r="613" spans="55:57" ht="11.25" hidden="1">
      <c r="BC613" s="69"/>
      <c r="BE613" s="71"/>
    </row>
    <row r="614" spans="55:57" ht="11.25" hidden="1">
      <c r="BC614" s="69"/>
      <c r="BE614" s="71"/>
    </row>
    <row r="615" spans="55:57" ht="11.25" hidden="1">
      <c r="BC615" s="69"/>
      <c r="BE615" s="71"/>
    </row>
    <row r="616" spans="55:57" ht="11.25" hidden="1">
      <c r="BC616" s="69"/>
      <c r="BE616" s="71"/>
    </row>
    <row r="617" spans="55:57" ht="11.25" hidden="1">
      <c r="BC617" s="69"/>
      <c r="BE617" s="71"/>
    </row>
    <row r="618" spans="55:57" ht="11.25" hidden="1">
      <c r="BC618" s="69"/>
      <c r="BE618" s="71"/>
    </row>
    <row r="619" spans="55:57" ht="11.25" hidden="1">
      <c r="BC619" s="69"/>
      <c r="BE619" s="71"/>
    </row>
    <row r="620" spans="55:57" ht="11.25" hidden="1">
      <c r="BC620" s="69"/>
      <c r="BE620" s="71"/>
    </row>
    <row r="621" spans="55:57" ht="11.25" hidden="1">
      <c r="BC621" s="69"/>
      <c r="BE621" s="71"/>
    </row>
    <row r="622" spans="55:57" ht="11.25" hidden="1">
      <c r="BC622" s="69"/>
      <c r="BE622" s="71"/>
    </row>
    <row r="623" spans="55:57" ht="11.25" hidden="1">
      <c r="BC623" s="69"/>
      <c r="BE623" s="71"/>
    </row>
    <row r="624" spans="55:57" ht="11.25" hidden="1">
      <c r="BC624" s="69"/>
      <c r="BE624" s="71"/>
    </row>
    <row r="625" spans="55:57" ht="11.25" hidden="1">
      <c r="BC625" s="69"/>
      <c r="BE625" s="71"/>
    </row>
    <row r="626" spans="55:57" ht="11.25" hidden="1">
      <c r="BC626" s="69"/>
      <c r="BE626" s="71"/>
    </row>
    <row r="627" spans="55:57" ht="11.25" hidden="1">
      <c r="BC627" s="69"/>
      <c r="BE627" s="71"/>
    </row>
    <row r="628" spans="55:57" ht="11.25" hidden="1">
      <c r="BC628" s="69"/>
      <c r="BE628" s="71"/>
    </row>
    <row r="629" spans="55:57" ht="11.25" hidden="1">
      <c r="BC629" s="69"/>
      <c r="BE629" s="71"/>
    </row>
    <row r="630" spans="55:57" ht="11.25" hidden="1">
      <c r="BC630" s="69"/>
      <c r="BE630" s="71"/>
    </row>
    <row r="631" spans="55:57" ht="11.25" hidden="1">
      <c r="BC631" s="69"/>
      <c r="BE631" s="71"/>
    </row>
    <row r="632" spans="55:57" ht="11.25" hidden="1">
      <c r="BC632" s="69"/>
      <c r="BE632" s="71"/>
    </row>
    <row r="633" spans="55:57" ht="11.25" hidden="1">
      <c r="BC633" s="69"/>
      <c r="BE633" s="71"/>
    </row>
    <row r="634" spans="55:57" ht="11.25" hidden="1">
      <c r="BC634" s="69"/>
      <c r="BE634" s="71"/>
    </row>
    <row r="635" spans="55:57" ht="11.25" hidden="1">
      <c r="BC635" s="69"/>
      <c r="BE635" s="71"/>
    </row>
    <row r="636" spans="55:57" ht="11.25" hidden="1">
      <c r="BC636" s="69"/>
      <c r="BE636" s="71"/>
    </row>
    <row r="637" spans="55:57" ht="11.25" hidden="1">
      <c r="BC637" s="69"/>
      <c r="BE637" s="71"/>
    </row>
    <row r="638" spans="55:57" ht="11.25" hidden="1">
      <c r="BC638" s="69"/>
      <c r="BE638" s="71"/>
    </row>
    <row r="639" spans="55:57" ht="11.25" hidden="1">
      <c r="BC639" s="69"/>
      <c r="BE639" s="71"/>
    </row>
    <row r="640" spans="55:57" ht="11.25" hidden="1">
      <c r="BC640" s="69"/>
      <c r="BE640" s="71"/>
    </row>
    <row r="641" spans="55:57" ht="11.25" hidden="1">
      <c r="BC641" s="69"/>
      <c r="BE641" s="71"/>
    </row>
    <row r="642" spans="55:57" ht="11.25" hidden="1">
      <c r="BC642" s="69"/>
      <c r="BE642" s="71"/>
    </row>
    <row r="643" spans="55:57" ht="11.25" hidden="1">
      <c r="BC643" s="69"/>
      <c r="BE643" s="71"/>
    </row>
    <row r="644" spans="55:57" ht="11.25" hidden="1">
      <c r="BC644" s="69"/>
      <c r="BE644" s="71"/>
    </row>
    <row r="645" spans="55:57" ht="11.25" hidden="1">
      <c r="BC645" s="69"/>
      <c r="BE645" s="71"/>
    </row>
    <row r="646" spans="55:57" ht="11.25" hidden="1">
      <c r="BC646" s="69"/>
      <c r="BE646" s="71"/>
    </row>
    <row r="647" spans="55:57" ht="11.25" hidden="1">
      <c r="BC647" s="69"/>
      <c r="BE647" s="71"/>
    </row>
    <row r="648" spans="55:57" ht="11.25" hidden="1">
      <c r="BC648" s="69"/>
      <c r="BE648" s="71"/>
    </row>
    <row r="649" spans="55:57" ht="11.25" hidden="1">
      <c r="BC649" s="69"/>
      <c r="BE649" s="71"/>
    </row>
    <row r="650" spans="55:57" ht="11.25" hidden="1">
      <c r="BC650" s="69"/>
      <c r="BE650" s="71"/>
    </row>
    <row r="651" spans="55:57" ht="11.25" hidden="1">
      <c r="BC651" s="69"/>
      <c r="BE651" s="71"/>
    </row>
    <row r="652" spans="55:57" ht="11.25" hidden="1">
      <c r="BC652" s="69"/>
      <c r="BE652" s="71"/>
    </row>
    <row r="653" spans="55:57" ht="11.25" hidden="1">
      <c r="BC653" s="69"/>
      <c r="BE653" s="71"/>
    </row>
    <row r="654" spans="55:57" ht="11.25" hidden="1">
      <c r="BC654" s="69"/>
      <c r="BE654" s="71"/>
    </row>
    <row r="655" spans="55:57" ht="11.25" hidden="1">
      <c r="BC655" s="69"/>
      <c r="BE655" s="71"/>
    </row>
    <row r="656" spans="55:57" ht="11.25" hidden="1">
      <c r="BC656" s="69"/>
      <c r="BE656" s="71"/>
    </row>
    <row r="657" spans="55:57" ht="11.25" hidden="1">
      <c r="BC657" s="69"/>
      <c r="BE657" s="71"/>
    </row>
    <row r="658" spans="55:57" ht="11.25" hidden="1">
      <c r="BC658" s="69"/>
      <c r="BE658" s="71"/>
    </row>
    <row r="659" spans="55:57" ht="11.25" hidden="1">
      <c r="BC659" s="69"/>
      <c r="BE659" s="71"/>
    </row>
    <row r="660" spans="55:57" ht="11.25" hidden="1">
      <c r="BC660" s="69"/>
      <c r="BE660" s="71"/>
    </row>
    <row r="661" spans="55:57" ht="11.25" hidden="1">
      <c r="BC661" s="69"/>
      <c r="BE661" s="71"/>
    </row>
    <row r="662" spans="55:57" ht="11.25" hidden="1">
      <c r="BC662" s="69"/>
      <c r="BE662" s="71"/>
    </row>
    <row r="663" spans="55:57" ht="11.25" hidden="1">
      <c r="BC663" s="69"/>
      <c r="BE663" s="71"/>
    </row>
    <row r="664" spans="55:57" ht="11.25" hidden="1">
      <c r="BC664" s="69"/>
      <c r="BE664" s="71"/>
    </row>
    <row r="665" spans="55:57" ht="11.25" hidden="1">
      <c r="BC665" s="69"/>
      <c r="BE665" s="71"/>
    </row>
    <row r="666" spans="55:57" ht="11.25" hidden="1">
      <c r="BC666" s="69"/>
      <c r="BE666" s="71"/>
    </row>
    <row r="667" spans="55:57" ht="11.25" hidden="1">
      <c r="BC667" s="69"/>
      <c r="BE667" s="71"/>
    </row>
    <row r="668" spans="55:57" ht="11.25" hidden="1">
      <c r="BC668" s="69"/>
      <c r="BE668" s="71"/>
    </row>
    <row r="669" spans="55:57" ht="11.25" hidden="1">
      <c r="BC669" s="69"/>
      <c r="BE669" s="71"/>
    </row>
    <row r="670" spans="55:57" ht="11.25" hidden="1">
      <c r="BC670" s="69"/>
      <c r="BE670" s="71"/>
    </row>
    <row r="671" spans="55:57" ht="11.25" hidden="1">
      <c r="BC671" s="69"/>
      <c r="BE671" s="71"/>
    </row>
    <row r="672" spans="55:57" ht="11.25" hidden="1">
      <c r="BC672" s="69"/>
      <c r="BE672" s="71"/>
    </row>
    <row r="673" spans="55:57" ht="11.25" hidden="1">
      <c r="BC673" s="69"/>
      <c r="BE673" s="71"/>
    </row>
    <row r="674" spans="55:57" ht="11.25" hidden="1">
      <c r="BC674" s="69"/>
      <c r="BE674" s="71"/>
    </row>
    <row r="675" spans="55:57" ht="11.25" hidden="1">
      <c r="BC675" s="69"/>
      <c r="BE675" s="71"/>
    </row>
    <row r="676" spans="55:57" ht="11.25" hidden="1">
      <c r="BC676" s="69"/>
      <c r="BE676" s="71"/>
    </row>
    <row r="677" spans="55:57" ht="11.25" hidden="1">
      <c r="BC677" s="69"/>
      <c r="BE677" s="71"/>
    </row>
    <row r="678" spans="55:57" ht="11.25" hidden="1">
      <c r="BC678" s="69"/>
      <c r="BE678" s="71"/>
    </row>
    <row r="679" spans="55:57" ht="11.25" hidden="1">
      <c r="BC679" s="69"/>
      <c r="BE679" s="71"/>
    </row>
    <row r="680" spans="55:57" ht="11.25" hidden="1">
      <c r="BC680" s="69"/>
      <c r="BE680" s="71"/>
    </row>
    <row r="681" spans="55:57" ht="11.25" hidden="1">
      <c r="BC681" s="69"/>
      <c r="BE681" s="71"/>
    </row>
    <row r="682" spans="55:57" ht="11.25" hidden="1">
      <c r="BC682" s="69"/>
      <c r="BE682" s="71"/>
    </row>
    <row r="683" spans="55:57" ht="11.25" hidden="1">
      <c r="BC683" s="69"/>
      <c r="BE683" s="71"/>
    </row>
    <row r="684" spans="55:57" ht="11.25" hidden="1">
      <c r="BC684" s="69"/>
      <c r="BE684" s="71"/>
    </row>
    <row r="685" spans="55:57" ht="11.25" hidden="1">
      <c r="BC685" s="69"/>
      <c r="BE685" s="71"/>
    </row>
    <row r="686" spans="55:57" ht="11.25" hidden="1">
      <c r="BC686" s="69"/>
      <c r="BE686" s="71"/>
    </row>
    <row r="687" spans="55:57" ht="11.25" hidden="1">
      <c r="BC687" s="69"/>
      <c r="BE687" s="71"/>
    </row>
    <row r="688" spans="55:57" ht="11.25" hidden="1">
      <c r="BC688" s="69"/>
      <c r="BE688" s="71"/>
    </row>
    <row r="689" spans="55:57" ht="11.25" hidden="1">
      <c r="BC689" s="69"/>
      <c r="BE689" s="71"/>
    </row>
    <row r="690" spans="55:57" ht="11.25" hidden="1">
      <c r="BC690" s="69"/>
      <c r="BE690" s="71"/>
    </row>
    <row r="691" spans="55:57" ht="11.25" hidden="1">
      <c r="BC691" s="69"/>
      <c r="BE691" s="71"/>
    </row>
    <row r="692" spans="55:57" ht="11.25" hidden="1">
      <c r="BC692" s="69"/>
      <c r="BE692" s="71"/>
    </row>
    <row r="693" spans="55:57" ht="11.25" hidden="1">
      <c r="BC693" s="69"/>
      <c r="BE693" s="71"/>
    </row>
    <row r="694" spans="55:57" ht="11.25" hidden="1">
      <c r="BC694" s="69"/>
      <c r="BE694" s="71"/>
    </row>
    <row r="695" spans="55:57" ht="11.25" hidden="1">
      <c r="BC695" s="69"/>
      <c r="BE695" s="71"/>
    </row>
    <row r="696" spans="55:57" ht="11.25" hidden="1">
      <c r="BC696" s="69"/>
      <c r="BE696" s="71"/>
    </row>
    <row r="697" spans="55:57" ht="11.25" hidden="1">
      <c r="BC697" s="69"/>
      <c r="BE697" s="71"/>
    </row>
    <row r="698" spans="55:57" ht="11.25" hidden="1">
      <c r="BC698" s="69"/>
      <c r="BE698" s="71"/>
    </row>
    <row r="699" spans="55:57" ht="11.25" hidden="1">
      <c r="BC699" s="69"/>
      <c r="BE699" s="71"/>
    </row>
    <row r="700" spans="55:57" ht="11.25" hidden="1">
      <c r="BC700" s="69"/>
      <c r="BE700" s="71"/>
    </row>
    <row r="701" spans="55:57" ht="11.25" hidden="1">
      <c r="BC701" s="69"/>
      <c r="BE701" s="71"/>
    </row>
    <row r="702" spans="55:57" ht="11.25" hidden="1">
      <c r="BC702" s="69"/>
      <c r="BE702" s="71"/>
    </row>
    <row r="703" spans="55:57" ht="11.25" hidden="1">
      <c r="BC703" s="69"/>
      <c r="BE703" s="71"/>
    </row>
    <row r="704" spans="55:57" ht="11.25" hidden="1">
      <c r="BC704" s="69"/>
      <c r="BE704" s="71"/>
    </row>
    <row r="705" spans="55:57" ht="11.25" hidden="1">
      <c r="BC705" s="69"/>
      <c r="BE705" s="71"/>
    </row>
    <row r="706" spans="55:57" ht="11.25" hidden="1">
      <c r="BC706" s="69"/>
      <c r="BE706" s="71"/>
    </row>
    <row r="707" spans="55:57" ht="11.25" hidden="1">
      <c r="BC707" s="69"/>
      <c r="BE707" s="71"/>
    </row>
    <row r="708" spans="55:57" ht="11.25" hidden="1">
      <c r="BC708" s="69"/>
      <c r="BE708" s="71"/>
    </row>
    <row r="709" spans="55:57" ht="11.25" hidden="1">
      <c r="BC709" s="69"/>
      <c r="BE709" s="71"/>
    </row>
    <row r="710" spans="55:57" ht="11.25" hidden="1">
      <c r="BC710" s="69"/>
      <c r="BE710" s="71"/>
    </row>
    <row r="711" spans="55:57" ht="11.25" hidden="1">
      <c r="BC711" s="69"/>
      <c r="BE711" s="71"/>
    </row>
    <row r="712" spans="55:57" ht="11.25" hidden="1">
      <c r="BC712" s="69"/>
      <c r="BE712" s="71"/>
    </row>
    <row r="713" spans="55:57" ht="11.25" hidden="1">
      <c r="BC713" s="69"/>
      <c r="BE713" s="71"/>
    </row>
    <row r="714" spans="55:57" ht="11.25" hidden="1">
      <c r="BC714" s="69"/>
      <c r="BE714" s="71"/>
    </row>
    <row r="715" spans="55:57" ht="11.25" hidden="1">
      <c r="BC715" s="69"/>
      <c r="BE715" s="71"/>
    </row>
    <row r="716" spans="55:57" ht="11.25" hidden="1">
      <c r="BC716" s="69"/>
      <c r="BE716" s="71"/>
    </row>
    <row r="717" spans="55:57" ht="11.25" hidden="1">
      <c r="BC717" s="69"/>
      <c r="BE717" s="71"/>
    </row>
    <row r="718" spans="55:57" ht="11.25" hidden="1">
      <c r="BC718" s="69"/>
      <c r="BE718" s="71"/>
    </row>
    <row r="719" spans="55:57" ht="11.25" hidden="1">
      <c r="BC719" s="69"/>
      <c r="BE719" s="71"/>
    </row>
    <row r="720" spans="55:57" ht="11.25" hidden="1">
      <c r="BC720" s="69"/>
      <c r="BE720" s="71"/>
    </row>
    <row r="721" spans="55:57" ht="11.25" hidden="1">
      <c r="BC721" s="69"/>
      <c r="BE721" s="71"/>
    </row>
    <row r="722" spans="55:57" ht="11.25" hidden="1">
      <c r="BC722" s="69"/>
      <c r="BE722" s="71"/>
    </row>
    <row r="723" spans="55:57" ht="11.25" hidden="1">
      <c r="BC723" s="69"/>
      <c r="BE723" s="71"/>
    </row>
    <row r="724" spans="55:57" ht="11.25" hidden="1">
      <c r="BC724" s="69"/>
      <c r="BE724" s="71"/>
    </row>
    <row r="725" spans="55:57" ht="11.25" hidden="1">
      <c r="BC725" s="69"/>
      <c r="BE725" s="71"/>
    </row>
    <row r="726" spans="55:57" ht="11.25" hidden="1">
      <c r="BC726" s="69"/>
      <c r="BE726" s="71"/>
    </row>
    <row r="727" spans="55:57" ht="11.25" hidden="1">
      <c r="BC727" s="69"/>
      <c r="BE727" s="71"/>
    </row>
    <row r="728" spans="55:57" ht="11.25" hidden="1">
      <c r="BC728" s="69"/>
      <c r="BE728" s="71"/>
    </row>
    <row r="729" spans="55:57" ht="11.25" hidden="1">
      <c r="BC729" s="69"/>
      <c r="BE729" s="71"/>
    </row>
    <row r="730" spans="55:57" ht="11.25" hidden="1">
      <c r="BC730" s="69"/>
      <c r="BE730" s="71"/>
    </row>
    <row r="731" spans="55:57" ht="11.25" hidden="1">
      <c r="BC731" s="69"/>
      <c r="BE731" s="71"/>
    </row>
    <row r="732" spans="55:57" ht="11.25" hidden="1">
      <c r="BC732" s="69"/>
      <c r="BE732" s="71"/>
    </row>
    <row r="733" spans="55:57" ht="11.25" hidden="1">
      <c r="BC733" s="69"/>
      <c r="BE733" s="71"/>
    </row>
    <row r="734" spans="55:57" ht="11.25" hidden="1">
      <c r="BC734" s="69"/>
      <c r="BE734" s="71"/>
    </row>
    <row r="735" spans="55:57" ht="11.25" hidden="1">
      <c r="BC735" s="69"/>
      <c r="BE735" s="71"/>
    </row>
    <row r="736" spans="55:57" ht="11.25" hidden="1">
      <c r="BC736" s="69"/>
      <c r="BE736" s="71"/>
    </row>
    <row r="737" spans="55:57" ht="11.25" hidden="1">
      <c r="BC737" s="69"/>
      <c r="BE737" s="71"/>
    </row>
    <row r="738" spans="55:57" ht="11.25" hidden="1">
      <c r="BC738" s="69"/>
      <c r="BE738" s="71"/>
    </row>
    <row r="739" spans="55:57" ht="11.25" hidden="1">
      <c r="BC739" s="69"/>
      <c r="BE739" s="71"/>
    </row>
    <row r="740" spans="55:57" ht="11.25" hidden="1">
      <c r="BC740" s="69"/>
      <c r="BE740" s="71"/>
    </row>
    <row r="741" spans="55:57" ht="11.25" hidden="1">
      <c r="BC741" s="69"/>
      <c r="BE741" s="71"/>
    </row>
    <row r="742" spans="55:57" ht="11.25" hidden="1">
      <c r="BC742" s="69"/>
      <c r="BE742" s="71"/>
    </row>
    <row r="743" spans="55:57" ht="11.25" hidden="1">
      <c r="BC743" s="69"/>
      <c r="BE743" s="71"/>
    </row>
    <row r="744" spans="55:57" ht="11.25" hidden="1">
      <c r="BC744" s="69"/>
      <c r="BE744" s="71"/>
    </row>
    <row r="745" spans="55:57" ht="11.25" hidden="1">
      <c r="BC745" s="69"/>
      <c r="BE745" s="71"/>
    </row>
    <row r="746" spans="55:57" ht="11.25" hidden="1">
      <c r="BC746" s="69"/>
      <c r="BE746" s="71"/>
    </row>
    <row r="747" spans="55:57" ht="11.25" hidden="1">
      <c r="BC747" s="69"/>
      <c r="BE747" s="71"/>
    </row>
    <row r="748" spans="55:57" ht="11.25" hidden="1">
      <c r="BC748" s="69"/>
      <c r="BE748" s="71"/>
    </row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</sheetData>
  <sheetProtection/>
  <mergeCells count="2">
    <mergeCell ref="A292:BC292"/>
    <mergeCell ref="A17:B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&amp;LTiszaszolg 2004 Kft.</oddHeader>
    <oddFooter>&amp;LTiszaújváros, &amp;D&amp;R&amp;P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2015-07-20T13:42:27Z</cp:lastPrinted>
  <dcterms:created xsi:type="dcterms:W3CDTF">1999-04-28T20:01:57Z</dcterms:created>
  <dcterms:modified xsi:type="dcterms:W3CDTF">2015-07-20T13:43:06Z</dcterms:modified>
  <cp:category/>
  <cp:version/>
  <cp:contentType/>
  <cp:contentStatus/>
</cp:coreProperties>
</file>