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'írószer'!$19:$19</definedName>
  </definedNames>
  <calcPr fullCalcOnLoad="1"/>
</workbook>
</file>

<file path=xl/sharedStrings.xml><?xml version="1.0" encoding="utf-8"?>
<sst xmlns="http://schemas.openxmlformats.org/spreadsheetml/2006/main" count="947" uniqueCount="313">
  <si>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</si>
  <si>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</si>
  <si>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</si>
  <si>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</si>
  <si>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</si>
  <si>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</si>
  <si>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</si>
  <si>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</si>
  <si>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</si>
  <si>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</si>
  <si>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</si>
  <si>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</si>
  <si>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KORES-LACO FEKETE</t>
  </si>
  <si>
    <t>RW</t>
  </si>
  <si>
    <t>HB</t>
  </si>
  <si>
    <t>A/5</t>
  </si>
  <si>
    <t>BÁSTYAFEJŰ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</si>
  <si>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</si>
  <si>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</si>
  <si>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</si>
  <si>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</si>
  <si>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</si>
  <si>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</si>
  <si>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tömb</t>
  </si>
  <si>
    <t>cso.</t>
  </si>
  <si>
    <t>FÉNYMÁSOLÓ PAPÍR (XEROX) 500 ív/cso.</t>
  </si>
  <si>
    <t>VONALZÓ (MŰANYAG)</t>
  </si>
  <si>
    <t>30 CM-ES</t>
  </si>
  <si>
    <t>TŰZŐGÉP KAPOCS 1000 db /doboz</t>
  </si>
  <si>
    <t>GÉMKAPOCS (NORMÁL) műag. bevonatos</t>
  </si>
  <si>
    <t>dob.</t>
  </si>
  <si>
    <t>tek.</t>
  </si>
  <si>
    <t>A/4</t>
  </si>
  <si>
    <t>HIBAJAVÍTÓ SZETT (ECSETELŐS) 2 db-os</t>
  </si>
  <si>
    <t>RAJZSZÖG (FÉM)</t>
  </si>
  <si>
    <t>RAJZSZÖG (MŰANYAG)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</si>
  <si>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</si>
  <si>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</si>
  <si>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</si>
  <si>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</si>
  <si>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</si>
  <si>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</si>
  <si>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</si>
  <si>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</si>
  <si>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</si>
  <si>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</si>
  <si>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</si>
  <si>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</si>
  <si>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</si>
  <si>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</si>
  <si>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</si>
  <si>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</si>
  <si>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</si>
  <si>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EDDING 142M FEKETE</t>
  </si>
  <si>
    <t>EDDING 142M PIROS</t>
  </si>
  <si>
    <t>EDDING 142M KÉK</t>
  </si>
  <si>
    <t>10-ES MÉRETŰ-KICSI</t>
  </si>
  <si>
    <t>10-ES MÉRETŰ KAPCSOS</t>
  </si>
  <si>
    <t>127X075 MM</t>
  </si>
  <si>
    <t>A/6</t>
  </si>
  <si>
    <t>A/7</t>
  </si>
  <si>
    <t>KÉK SZÍNŰ BETÉTTEL</t>
  </si>
  <si>
    <t>PIROS SZÍNŰ BETÉTTEL</t>
  </si>
  <si>
    <t>GOLYÓSTOLL  BETÉT(SOLIDLY) KÉK</t>
  </si>
  <si>
    <t>PENTEL ULTRA FINE KÉK</t>
  </si>
  <si>
    <t>PENTEL ULTRA FINE FEKETE</t>
  </si>
  <si>
    <t>4 SZÍNŰ TOLLHOZ</t>
  </si>
  <si>
    <t>LC5 / FEHÉR SZÍNŰ</t>
  </si>
  <si>
    <t>LC6 / FEHÉR SZÍNŰ</t>
  </si>
  <si>
    <t>GOLYÓSTOLL (SIGNETTA) OLCSÓ</t>
  </si>
  <si>
    <t>KÉK SZÍNŰ 5 CM-ES</t>
  </si>
  <si>
    <t>PIROS SZÍNŰ 5 CM-ES</t>
  </si>
  <si>
    <t>QUICK TAGS (TÖBB SZÍNŰ)</t>
  </si>
  <si>
    <t>POST-IT (TÖBB SZÍNŰ)</t>
  </si>
  <si>
    <t>A/4  ÁLLÓ HELYZETŰ</t>
  </si>
  <si>
    <t>VÁGOTTHEGYŰ-FEKETE</t>
  </si>
  <si>
    <t>25 MM-ES (12db/dob.)</t>
  </si>
  <si>
    <t>19 MM-ES (12db/dob.)</t>
  </si>
  <si>
    <t>15 MM-ES (12db/dob.)</t>
  </si>
  <si>
    <t>SZÁLLÍTÓLEVÉL (ÖNINDIGÓS !)</t>
  </si>
  <si>
    <t>cs.</t>
  </si>
  <si>
    <t>32 MM-ES (12db/dob.)</t>
  </si>
  <si>
    <t>CD-R LEMEZ (MŰANYAG VÉKONY TOKOS)</t>
  </si>
  <si>
    <t xml:space="preserve">700MB  (VERBATIM, TDK) </t>
  </si>
  <si>
    <t>ZSEBNOTESZ (SPIRÁLFŰZÉSES)</t>
  </si>
  <si>
    <t>CERUZABETÉT (PIXIRON) B</t>
  </si>
  <si>
    <t>TŰZŐGÉP FÉMBŐL (NORMÁL KAPCSOS)</t>
  </si>
  <si>
    <t>PAPÍRSZALVÉTA (FEHÉR SZÍNŰ)</t>
  </si>
  <si>
    <t>MINŐSÉGI !</t>
  </si>
  <si>
    <t>KÖTÖZŐZSINEG</t>
  </si>
  <si>
    <t>BEFŐTTES GUMI</t>
  </si>
  <si>
    <t>A/4 / SZÍNES</t>
  </si>
  <si>
    <t xml:space="preserve">MŰANYAG, OLDALT PATENTOS TASAK </t>
  </si>
  <si>
    <t>LEFŰZHETŐ (BORÍTÉK JELLEGŰ)</t>
  </si>
  <si>
    <t>GENOTHERMA (OLDALT FELNYÍLÓ) A/4</t>
  </si>
  <si>
    <t>GENOTHERMA (2 OLDALON FELNYÍLÓ) A/4</t>
  </si>
  <si>
    <t>SZÖVEGKIEMELŐ (FABER CASTELL TEXTLINER)</t>
  </si>
  <si>
    <t xml:space="preserve">GOLYÓSTOLL (SOLIDLY) </t>
  </si>
  <si>
    <t>GUMIS MAPPA (KEMÉNY FEDELŰ)</t>
  </si>
  <si>
    <t>A/4 (FÜZETTARTÓ)</t>
  </si>
  <si>
    <t>ETIKETT CIMKE A/4</t>
  </si>
  <si>
    <t>TŰZŐGÉP (KIS KAPCSOS) JÓ MINŐSÉGŰ !</t>
  </si>
  <si>
    <t>EAGLE 204 (24/6 KAPCSOS) JÓ MINŐSÉGŰ !</t>
  </si>
  <si>
    <t>BÉLYEGZŐPÁRNA (FEKETE)</t>
  </si>
  <si>
    <t>COLOP PRINTER 30 TIPUSHOZ</t>
  </si>
  <si>
    <t>FEHÉR SZÍNŰ HÁTLAPPAL</t>
  </si>
  <si>
    <t>GENOTHERMA (LEFŰZHETŐS) VÍZTISZTA !</t>
  </si>
  <si>
    <t>GOLYÓSTOLL (GRAFO)</t>
  </si>
  <si>
    <t>GÖRBEHEGYŰ</t>
  </si>
  <si>
    <t>LEFŰZHETŐ(VASTAG-ÁTLÁTSZÓ)</t>
  </si>
  <si>
    <t>4,2 MM SZÉLES / 5 MÉTERNÉL HOSSZABB !</t>
  </si>
  <si>
    <t>ASZTALI, FEKVŐ, A/4 EGYMÁSRA HELYEZHETŐ !</t>
  </si>
  <si>
    <t>ZÖLD SZÍNŰ BETÉTTEL</t>
  </si>
  <si>
    <t>MAPPA (VILLÁMZÁRAS) FEKETE SZÍNŰ</t>
  </si>
  <si>
    <t>JELÖLŐCIMKE "SMILE"</t>
  </si>
  <si>
    <t>20X50 MM</t>
  </si>
  <si>
    <t>klt.</t>
  </si>
  <si>
    <t>PENTEL ULTRA FINE ZÖLD</t>
  </si>
  <si>
    <t>GOLYÓSTOLL (ZEBRA SUPER FINE H8000)</t>
  </si>
  <si>
    <t>FÜZET (FRANCIA KOCKÁS)</t>
  </si>
  <si>
    <t>GOLYÓSTOLL BETÉT (MŰANYAG)</t>
  </si>
  <si>
    <t>RAGASZTÓ SZALAG (HAVANNA) BARNA</t>
  </si>
  <si>
    <t>5CM SZÉLES</t>
  </si>
  <si>
    <t>SIMA (JOBB MINŐSÉGŰ !)</t>
  </si>
  <si>
    <t>FEHÉR SZÍNŰ 5 CM-ES</t>
  </si>
  <si>
    <t>HIBAJAVÍTÓ FESTÉK (ECSETES)</t>
  </si>
  <si>
    <t>HÍGÍTÓ NÉLKÜLI</t>
  </si>
  <si>
    <t>A/4 FEKVŐ HELYZETŰ</t>
  </si>
  <si>
    <t>PAPÍRSZALVÉTA (SZÍNES)</t>
  </si>
  <si>
    <t>p</t>
  </si>
  <si>
    <t>szo</t>
  </si>
  <si>
    <t>v</t>
  </si>
  <si>
    <t>h</t>
  </si>
  <si>
    <t>FÜZET (VONALAS)</t>
  </si>
  <si>
    <t>GOLYÓSTOLL (4 SZÍNŰ)</t>
  </si>
  <si>
    <t>KLASSZIKUS</t>
  </si>
  <si>
    <t>BORÍTÉK BÉLELT</t>
  </si>
  <si>
    <t>W4</t>
  </si>
  <si>
    <t>PIROS SZÍNŰ HÁTLAPPAL</t>
  </si>
  <si>
    <t>ZÖLD SZÍNŰ HÁTLAPPAL</t>
  </si>
  <si>
    <t>FEKETE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</si>
  <si>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</si>
  <si>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</si>
  <si>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</si>
  <si>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</si>
  <si>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</si>
  <si>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</si>
  <si>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</si>
  <si>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</si>
  <si>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99,1X38,1 MM</t>
  </si>
  <si>
    <t>115X86 MM</t>
  </si>
  <si>
    <t>89X35 MM</t>
  </si>
  <si>
    <t>52,5X29,7MM</t>
  </si>
  <si>
    <t>FEKETE SZÍNŰ BETÉTTEL</t>
  </si>
  <si>
    <t>IRATRENDEZŐ TÁLCA (MŰANYAG)</t>
  </si>
  <si>
    <t>RAGASZTÓ (PILLANATRAGASZTÓ)</t>
  </si>
  <si>
    <t>ZÖLD</t>
  </si>
  <si>
    <t>RAGASZTÓ (TECHNOKOL RAPID)</t>
  </si>
  <si>
    <t>VÁGOTTHEGYŰ-KÉK</t>
  </si>
  <si>
    <t>GOLYÓSTOLL BETÉT (ZEBRA F301) RÚGÓS</t>
  </si>
  <si>
    <t>FEKETE SZÍNŰ</t>
  </si>
  <si>
    <t>KISS MÉRETŰ</t>
  </si>
  <si>
    <t>TC4 / FEHÉR SZÍNŰ</t>
  </si>
  <si>
    <t>DÁTUMBÉLYEGZŐ (TRODAT PRINTY 4810)</t>
  </si>
  <si>
    <t>X18</t>
  </si>
  <si>
    <t>FELÍRÓTÁBLA</t>
  </si>
  <si>
    <t>SZÖVEGKIEMELŐ</t>
  </si>
  <si>
    <t>8 SZÍNŰ KÉSZLET (KIS MÉRETŰ IS ELÉG !)</t>
  </si>
  <si>
    <t>IRATSPIRÁL</t>
  </si>
  <si>
    <t>10MM-ES (FEHÉR)</t>
  </si>
  <si>
    <t>14MM-ES (FEHÉR)</t>
  </si>
  <si>
    <t>ELŐLAP (ÁTLÁTSZÓ) IRAT SPIRÁLOZÁSHOZ !</t>
  </si>
  <si>
    <t>HÁTLAP (BŐRHATÁSÚ-FEHÉR) IRAT SPIRÁLOZÁSHOZ !</t>
  </si>
  <si>
    <t>BÉLYEGZŐPÁRNA (COLLOP PRINTER 40-HEZ)</t>
  </si>
  <si>
    <t>IRATSÍN</t>
  </si>
  <si>
    <t>1-25 A/4 80 GRAMMOS PAPIRLAP BEFOGADÁSÚ</t>
  </si>
  <si>
    <t>25-40 A/4 80 GRAMMOS PAPIRLAP BEFOGADÁSÚ</t>
  </si>
  <si>
    <t>40-80  A/4  80 GRAMMOS PAPIRLAP BEFOGADÁSÚ</t>
  </si>
  <si>
    <t>sorszám</t>
  </si>
  <si>
    <t>Anyag megnevezése</t>
  </si>
  <si>
    <t>Méret, egyéb megnevezés</t>
  </si>
  <si>
    <t>mennyiség</t>
  </si>
  <si>
    <t>egységár (Ft)</t>
  </si>
  <si>
    <t>érték (Ft)</t>
  </si>
  <si>
    <t>összesen (Ft):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</si>
  <si>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</si>
  <si>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</si>
  <si>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</si>
  <si>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</si>
  <si>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</si>
  <si>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</si>
  <si>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</si>
  <si>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</si>
  <si>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</si>
  <si>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</si>
  <si>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</si>
  <si>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</si>
  <si>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</si>
  <si>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</si>
  <si>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</si>
  <si>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</si>
  <si>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</si>
  <si>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</si>
  <si>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</si>
  <si>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</si>
  <si>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</si>
  <si>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</si>
  <si>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</si>
  <si>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</si>
  <si>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</si>
  <si>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</si>
  <si>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</si>
  <si>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</si>
  <si>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</si>
  <si>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</si>
  <si>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</si>
  <si>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</si>
  <si>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</si>
  <si>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</si>
  <si>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</si>
  <si>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</si>
  <si>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</si>
  <si>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</si>
  <si>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</si>
  <si>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</si>
  <si>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</si>
  <si>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</si>
  <si>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</si>
  <si>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</si>
  <si>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</si>
  <si>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</si>
  <si>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</si>
  <si>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</si>
  <si>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</si>
  <si>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</si>
  <si>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</si>
  <si>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</si>
  <si>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</si>
  <si>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</si>
  <si>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</si>
  <si>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</si>
  <si>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</si>
  <si>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</si>
  <si>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</si>
  <si>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</si>
  <si>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</si>
  <si>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</si>
  <si>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</si>
  <si>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</si>
  <si>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</si>
  <si>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</si>
  <si>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</si>
  <si>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</si>
  <si>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</si>
  <si>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</si>
  <si>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</si>
  <si>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</si>
  <si>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</si>
  <si>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</si>
  <si>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</si>
  <si>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</si>
  <si>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</si>
  <si>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</si>
  <si>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</si>
  <si>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</si>
  <si>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</si>
  <si>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</si>
  <si>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</si>
  <si>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</si>
  <si>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</si>
  <si>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</si>
  <si>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</si>
  <si>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</si>
  <si>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</si>
  <si>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</si>
  <si>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</si>
  <si>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</si>
  <si>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</si>
  <si>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</si>
  <si>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</si>
  <si>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</si>
  <si>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</si>
  <si>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</si>
  <si>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</si>
  <si>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</si>
  <si>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</si>
  <si>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</si>
  <si>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</si>
  <si>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</si>
  <si>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</si>
  <si>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</si>
  <si>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</si>
  <si>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</si>
  <si>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</si>
  <si>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</si>
  <si>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</si>
  <si>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</si>
  <si>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</si>
  <si>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</si>
  <si>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</si>
  <si>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</si>
  <si>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</si>
  <si>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</si>
  <si>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</si>
  <si>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</si>
  <si>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</si>
  <si>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</si>
  <si>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</si>
  <si>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</si>
  <si>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</si>
  <si>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</si>
  <si>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</si>
  <si>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2012 3/4 éves írószer árajánlat bekérés (Tiszaszolg 2004 Kft)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</si>
</sst>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1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2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left"/>
    </xf>
    <xf numFmtId="0" fontId="0" fillId="24" borderId="13" xfId="0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12" fillId="24" borderId="15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K953"/>
  <sheetViews>
    <sheetView tabSelected="1" zoomScalePageLayoutView="0" workbookViewId="0" topLeftCell="A17">
      <selection activeCell="A17" sqref="A17:BM17"/>
    </sheetView>
  </sheetViews>
  <sheetFormatPr defaultColWidth="9.00390625" defaultRowHeight="12.75"/>
  <cols>
    <col min="1" max="1" width="10.25390625" style="46" customWidth="1"/>
    <col min="2" max="2" width="41.625" style="1" customWidth="1"/>
    <col min="3" max="3" width="38.00390625" style="1" customWidth="1"/>
    <col min="4" max="4" width="4.75390625" style="12" hidden="1" customWidth="1"/>
    <col min="5" max="5" width="3.375" style="5" hidden="1" customWidth="1"/>
    <col min="6" max="6" width="3.75390625" style="5" hidden="1" customWidth="1"/>
    <col min="7" max="7" width="3.625" style="5" hidden="1" customWidth="1"/>
    <col min="8" max="8" width="3.00390625" style="8" hidden="1" customWidth="1"/>
    <col min="9" max="9" width="3.375" style="5" hidden="1" customWidth="1"/>
    <col min="10" max="10" width="4.375" style="5" hidden="1" customWidth="1"/>
    <col min="11" max="11" width="3.75390625" style="5" hidden="1" customWidth="1"/>
    <col min="12" max="12" width="3.875" style="5" hidden="1" customWidth="1"/>
    <col min="13" max="13" width="3.00390625" style="7" hidden="1" customWidth="1"/>
    <col min="14" max="14" width="3.75390625" style="2" hidden="1" customWidth="1"/>
    <col min="15" max="15" width="3.375" style="5" hidden="1" customWidth="1"/>
    <col min="16" max="16" width="3.00390625" style="2" hidden="1" customWidth="1"/>
    <col min="17" max="17" width="3.625" style="5" hidden="1" customWidth="1"/>
    <col min="18" max="19" width="3.00390625" style="5" hidden="1" customWidth="1"/>
    <col min="20" max="20" width="3.625" style="5" hidden="1" customWidth="1"/>
    <col min="21" max="21" width="3.00390625" style="5" hidden="1" customWidth="1"/>
    <col min="22" max="22" width="3.25390625" style="5" hidden="1" customWidth="1"/>
    <col min="23" max="23" width="3.625" style="5" hidden="1" customWidth="1"/>
    <col min="24" max="24" width="3.375" style="5" hidden="1" customWidth="1"/>
    <col min="25" max="25" width="3.625" style="5" hidden="1" customWidth="1"/>
    <col min="26" max="26" width="3.375" style="5" hidden="1" customWidth="1"/>
    <col min="27" max="27" width="3.25390625" style="5" hidden="1" customWidth="1"/>
    <col min="28" max="29" width="3.00390625" style="5" hidden="1" customWidth="1"/>
    <col min="30" max="30" width="3.375" style="11" hidden="1" customWidth="1"/>
    <col min="31" max="37" width="3.375" style="5" hidden="1" customWidth="1"/>
    <col min="38" max="38" width="3.625" style="5" hidden="1" customWidth="1"/>
    <col min="39" max="39" width="3.25390625" style="5" hidden="1" customWidth="1"/>
    <col min="40" max="40" width="3.25390625" style="3" hidden="1" customWidth="1"/>
    <col min="41" max="41" width="3.375" style="2" hidden="1" customWidth="1"/>
    <col min="42" max="42" width="3.375" style="7" hidden="1" customWidth="1"/>
    <col min="43" max="43" width="3.375" style="2" hidden="1" customWidth="1"/>
    <col min="44" max="44" width="3.625" style="5" hidden="1" customWidth="1"/>
    <col min="45" max="45" width="3.375" style="5" hidden="1" customWidth="1"/>
    <col min="46" max="47" width="3.625" style="5" hidden="1" customWidth="1"/>
    <col min="48" max="48" width="3.375" style="5" hidden="1" customWidth="1"/>
    <col min="49" max="49" width="3.625" style="5" hidden="1" customWidth="1"/>
    <col min="50" max="51" width="3.375" style="5" hidden="1" customWidth="1"/>
    <col min="52" max="55" width="3.375" style="16" hidden="1" customWidth="1"/>
    <col min="56" max="61" width="3.375" style="5" hidden="1" customWidth="1"/>
    <col min="62" max="62" width="6.625" style="5" customWidth="1"/>
    <col min="63" max="63" width="7.00390625" style="42" customWidth="1"/>
    <col min="64" max="64" width="12.875" style="42" customWidth="1"/>
    <col min="65" max="65" width="14.875" style="53" customWidth="1"/>
    <col min="66" max="66" width="9.875" style="1" hidden="1" customWidth="1"/>
    <col min="67" max="73" width="3.00390625" style="1" hidden="1" customWidth="1"/>
    <col min="74" max="126" width="0" style="1" hidden="1" customWidth="1"/>
    <col min="127" max="16384" width="9.125" style="1" customWidth="1"/>
  </cols>
  <sheetData>
    <row r="1" spans="1:65" s="9" customFormat="1" ht="11.25" customHeight="1" hidden="1">
      <c r="A1" s="43"/>
      <c r="B1" s="9" t="str">
        <f>"AJÁNDÉK TASAK"</f>
        <v>AJÁNDÉK TASAK</v>
      </c>
      <c r="D1" s="17"/>
      <c r="E1" s="4"/>
      <c r="F1" s="4"/>
      <c r="G1" s="4"/>
      <c r="H1" s="17" t="s">
        <v>46</v>
      </c>
      <c r="I1" s="17"/>
      <c r="J1" s="4"/>
      <c r="K1" s="4"/>
      <c r="L1" s="4"/>
      <c r="M1" s="6"/>
      <c r="N1" s="27"/>
      <c r="O1" s="4"/>
      <c r="P1" s="4"/>
      <c r="Q1" s="4"/>
      <c r="R1" s="4"/>
      <c r="S1" s="4"/>
      <c r="T1" s="4"/>
      <c r="U1" s="4"/>
      <c r="V1" s="4"/>
      <c r="W1" s="4"/>
      <c r="X1" s="27"/>
      <c r="Y1" s="4"/>
      <c r="Z1" s="4"/>
      <c r="AA1" s="4"/>
      <c r="AB1" s="4"/>
      <c r="AC1" s="27"/>
      <c r="AD1" s="10"/>
      <c r="AE1" s="4"/>
      <c r="AF1" s="4"/>
      <c r="AG1" s="4"/>
      <c r="AH1" s="4"/>
      <c r="AI1" s="4"/>
      <c r="AJ1" s="4"/>
      <c r="AK1" s="4"/>
      <c r="AL1" s="4"/>
      <c r="AM1" s="4"/>
      <c r="AN1" s="6"/>
      <c r="AO1" s="4"/>
      <c r="AP1" s="6"/>
      <c r="AQ1" s="4"/>
      <c r="AR1" s="4"/>
      <c r="AS1" s="4"/>
      <c r="AT1" s="4"/>
      <c r="AU1" s="4"/>
      <c r="AV1" s="4"/>
      <c r="AW1" s="4"/>
      <c r="AX1" s="4"/>
      <c r="AY1" s="4"/>
      <c r="AZ1" s="18"/>
      <c r="BA1" s="18"/>
      <c r="BB1" s="18"/>
      <c r="BC1" s="18"/>
      <c r="BD1" s="4"/>
      <c r="BE1" s="4"/>
      <c r="BF1" s="4"/>
      <c r="BG1" s="4"/>
      <c r="BH1" s="4"/>
      <c r="BI1" s="4"/>
      <c r="BJ1" s="4"/>
      <c r="BK1" s="41"/>
      <c r="BL1" s="41"/>
      <c r="BM1" s="51"/>
    </row>
    <row r="2" spans="1:65" s="9" customFormat="1" ht="11.25" customHeight="1" hidden="1">
      <c r="A2" s="43"/>
      <c r="B2" s="9" t="str">
        <f>"ALÁÍRÓKÖNYV (A4)"</f>
        <v>ALÁÍRÓKÖNYV (A4)</v>
      </c>
      <c r="C2" s="9" t="str">
        <f>"SAVARIA"</f>
        <v>SAVARIA</v>
      </c>
      <c r="D2" s="17"/>
      <c r="E2" s="4"/>
      <c r="F2" s="4"/>
      <c r="G2" s="4"/>
      <c r="H2" s="17" t="s">
        <v>46</v>
      </c>
      <c r="I2" s="4"/>
      <c r="J2" s="4"/>
      <c r="K2" s="4"/>
      <c r="L2" s="4"/>
      <c r="M2" s="6"/>
      <c r="N2" s="27"/>
      <c r="O2" s="4"/>
      <c r="P2" s="4"/>
      <c r="Q2" s="4"/>
      <c r="R2" s="4"/>
      <c r="S2" s="4"/>
      <c r="T2" s="4"/>
      <c r="U2" s="4"/>
      <c r="V2" s="4"/>
      <c r="W2" s="4"/>
      <c r="X2" s="27"/>
      <c r="Y2" s="4"/>
      <c r="Z2" s="4"/>
      <c r="AA2" s="4"/>
      <c r="AB2" s="4"/>
      <c r="AC2" s="27"/>
      <c r="AD2" s="10"/>
      <c r="AE2" s="4"/>
      <c r="AF2" s="4"/>
      <c r="AG2" s="4"/>
      <c r="AH2" s="4"/>
      <c r="AI2" s="4"/>
      <c r="AJ2" s="4"/>
      <c r="AK2" s="4"/>
      <c r="AL2" s="4"/>
      <c r="AM2" s="4"/>
      <c r="AN2" s="6"/>
      <c r="AO2" s="4"/>
      <c r="AP2" s="6"/>
      <c r="AQ2" s="4"/>
      <c r="AR2" s="4"/>
      <c r="AS2" s="4"/>
      <c r="AT2" s="4"/>
      <c r="AU2" s="4"/>
      <c r="AV2" s="4"/>
      <c r="AW2" s="4"/>
      <c r="AX2" s="4"/>
      <c r="AY2" s="4"/>
      <c r="AZ2" s="18"/>
      <c r="BA2" s="18"/>
      <c r="BB2" s="18"/>
      <c r="BC2" s="18"/>
      <c r="BD2" s="4"/>
      <c r="BE2" s="4"/>
      <c r="BF2" s="4"/>
      <c r="BG2" s="4"/>
      <c r="BH2" s="4"/>
      <c r="BI2" s="4"/>
      <c r="BJ2" s="4"/>
      <c r="BK2" s="41"/>
      <c r="BL2" s="41"/>
      <c r="BM2" s="51"/>
    </row>
    <row r="3" spans="1:65" s="8" customFormat="1" ht="11.25" customHeight="1" hidden="1">
      <c r="A3" s="44"/>
      <c r="B3" s="9" t="str">
        <f>"ARCHIVÁLÓ KONTÉNER"</f>
        <v>ARCHIVÁLÓ KONTÉNER</v>
      </c>
      <c r="C3" s="9"/>
      <c r="D3" s="21"/>
      <c r="E3" s="28"/>
      <c r="F3" s="28"/>
      <c r="G3" s="5"/>
      <c r="H3" s="34"/>
      <c r="I3" s="28"/>
      <c r="J3" s="28"/>
      <c r="K3" s="28"/>
      <c r="L3" s="28"/>
      <c r="M3" s="28"/>
      <c r="N3" s="28"/>
      <c r="O3" s="28"/>
      <c r="P3" s="28"/>
      <c r="Q3" s="5"/>
      <c r="R3" s="5"/>
      <c r="S3" s="5"/>
      <c r="T3" s="5"/>
      <c r="U3" s="5"/>
      <c r="V3" s="5"/>
      <c r="W3" s="28"/>
      <c r="X3" s="28"/>
      <c r="Y3" s="28"/>
      <c r="Z3" s="5"/>
      <c r="AA3" s="5"/>
      <c r="AB3" s="28"/>
      <c r="AC3" s="28"/>
      <c r="AD3" s="11"/>
      <c r="AE3" s="5"/>
      <c r="AF3" s="5"/>
      <c r="AG3" s="5"/>
      <c r="AH3" s="5"/>
      <c r="AI3" s="5"/>
      <c r="AJ3" s="5"/>
      <c r="AK3" s="5"/>
      <c r="AL3" s="5"/>
      <c r="AM3" s="5"/>
      <c r="AN3" s="17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28"/>
      <c r="BA3" s="5"/>
      <c r="BB3" s="5"/>
      <c r="BC3" s="5"/>
      <c r="BD3" s="5"/>
      <c r="BE3" s="5"/>
      <c r="BF3" s="28"/>
      <c r="BG3" s="28"/>
      <c r="BH3" s="5"/>
      <c r="BI3" s="5"/>
      <c r="BJ3" s="5">
        <f aca="true" t="shared" si="0" ref="BJ3:BJ14">SUM(BT36)</f>
        <v>0</v>
      </c>
      <c r="BK3" s="42"/>
      <c r="BL3" s="42"/>
      <c r="BM3" s="13"/>
    </row>
    <row r="4" spans="1:65" s="8" customFormat="1" ht="11.25" customHeight="1" hidden="1">
      <c r="A4" s="44"/>
      <c r="B4" s="9" t="str">
        <f>"ÁTÍRÓTÖMB"</f>
        <v>ÁTÍRÓTÖMB</v>
      </c>
      <c r="C4" s="9" t="str">
        <f>"A/5 (50X3)"</f>
        <v>A/5 (50X3)</v>
      </c>
      <c r="D4" s="21"/>
      <c r="E4" s="28"/>
      <c r="F4" s="28"/>
      <c r="G4" s="5"/>
      <c r="H4" s="34"/>
      <c r="I4" s="28"/>
      <c r="J4" s="28"/>
      <c r="K4" s="28"/>
      <c r="L4" s="28"/>
      <c r="M4" s="28"/>
      <c r="N4" s="28"/>
      <c r="O4" s="28"/>
      <c r="P4" s="28"/>
      <c r="Q4" s="5"/>
      <c r="R4" s="5"/>
      <c r="S4" s="5"/>
      <c r="T4" s="5"/>
      <c r="U4" s="5"/>
      <c r="V4" s="5"/>
      <c r="W4" s="28"/>
      <c r="X4" s="28"/>
      <c r="Y4" s="28"/>
      <c r="Z4" s="5"/>
      <c r="AA4" s="5"/>
      <c r="AB4" s="28"/>
      <c r="AC4" s="28"/>
      <c r="AD4" s="11"/>
      <c r="AE4" s="5"/>
      <c r="AF4" s="5"/>
      <c r="AG4" s="5"/>
      <c r="AH4" s="5"/>
      <c r="AI4" s="5"/>
      <c r="AJ4" s="5"/>
      <c r="AK4" s="5"/>
      <c r="AL4" s="5"/>
      <c r="AM4" s="5"/>
      <c r="AN4" s="17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28"/>
      <c r="BA4" s="5"/>
      <c r="BB4" s="5"/>
      <c r="BC4" s="5"/>
      <c r="BD4" s="5"/>
      <c r="BE4" s="5"/>
      <c r="BF4" s="28"/>
      <c r="BG4" s="28"/>
      <c r="BH4" s="5"/>
      <c r="BI4" s="5"/>
      <c r="BJ4" s="5">
        <f t="shared" si="0"/>
        <v>0</v>
      </c>
      <c r="BK4" s="42"/>
      <c r="BL4" s="42"/>
      <c r="BM4" s="13"/>
    </row>
    <row r="5" spans="1:65" s="8" customFormat="1" ht="11.25" customHeight="1" hidden="1">
      <c r="A5" s="44"/>
      <c r="B5" s="9" t="str">
        <f>"ÁTÍRÓTÖMB (ÖNÁTÍRÓS)"</f>
        <v>ÁTÍRÓTÖMB (ÖNÁTÍRÓS)</v>
      </c>
      <c r="C5" s="9" t="str">
        <f>"A/4 (50X2)"</f>
        <v>A/4 (50X2)</v>
      </c>
      <c r="D5" s="21"/>
      <c r="E5" s="28"/>
      <c r="F5" s="28"/>
      <c r="G5" s="5"/>
      <c r="H5" s="34"/>
      <c r="I5" s="28"/>
      <c r="J5" s="28"/>
      <c r="K5" s="28"/>
      <c r="L5" s="28"/>
      <c r="M5" s="28"/>
      <c r="N5" s="28"/>
      <c r="O5" s="28"/>
      <c r="P5" s="28"/>
      <c r="Q5" s="5"/>
      <c r="R5" s="5"/>
      <c r="S5" s="5"/>
      <c r="T5" s="5"/>
      <c r="U5" s="5"/>
      <c r="V5" s="5"/>
      <c r="W5" s="28"/>
      <c r="X5" s="28"/>
      <c r="Y5" s="28"/>
      <c r="Z5" s="5"/>
      <c r="AA5" s="5"/>
      <c r="AB5" s="28"/>
      <c r="AC5" s="28"/>
      <c r="AD5" s="11"/>
      <c r="AE5" s="5"/>
      <c r="AF5" s="5"/>
      <c r="AG5" s="5"/>
      <c r="AH5" s="5"/>
      <c r="AI5" s="5"/>
      <c r="AJ5" s="5"/>
      <c r="AK5" s="5"/>
      <c r="AL5" s="5"/>
      <c r="AM5" s="5"/>
      <c r="AN5" s="17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28"/>
      <c r="BA5" s="5"/>
      <c r="BB5" s="5"/>
      <c r="BC5" s="5"/>
      <c r="BD5" s="5"/>
      <c r="BE5" s="5"/>
      <c r="BF5" s="28"/>
      <c r="BG5" s="28"/>
      <c r="BH5" s="5"/>
      <c r="BI5" s="5"/>
      <c r="BJ5" s="5">
        <f t="shared" si="0"/>
        <v>0</v>
      </c>
      <c r="BK5" s="42"/>
      <c r="BL5" s="42"/>
      <c r="BM5" s="13"/>
    </row>
    <row r="6" spans="1:65" s="9" customFormat="1" ht="11.25" customHeight="1" hidden="1">
      <c r="A6" s="43"/>
      <c r="B6" s="9" t="str">
        <f>"BELFÖLDI KIKÜLDETÉSI RENDELVÉNY"</f>
        <v>BELFÖLDI KIKÜLDETÉSI RENDELVÉNY</v>
      </c>
      <c r="C6" s="9" t="str">
        <f>"(B.18-70/új)"</f>
        <v>(B.18-70/új)</v>
      </c>
      <c r="D6" s="21"/>
      <c r="E6" s="27"/>
      <c r="F6" s="27"/>
      <c r="G6" s="4"/>
      <c r="H6" s="34"/>
      <c r="I6" s="27"/>
      <c r="J6" s="27"/>
      <c r="K6" s="27"/>
      <c r="L6" s="27"/>
      <c r="M6" s="27"/>
      <c r="N6" s="27"/>
      <c r="O6" s="27"/>
      <c r="P6" s="27"/>
      <c r="Q6" s="4"/>
      <c r="R6" s="4"/>
      <c r="S6" s="4"/>
      <c r="T6" s="4"/>
      <c r="U6" s="4"/>
      <c r="V6" s="4"/>
      <c r="W6" s="27"/>
      <c r="X6" s="27"/>
      <c r="Y6" s="27"/>
      <c r="Z6" s="4"/>
      <c r="AA6" s="4"/>
      <c r="AB6" s="27"/>
      <c r="AC6" s="27"/>
      <c r="AD6" s="10"/>
      <c r="AE6" s="4"/>
      <c r="AF6" s="4"/>
      <c r="AG6" s="4"/>
      <c r="AH6" s="4"/>
      <c r="AI6" s="4"/>
      <c r="AJ6" s="4"/>
      <c r="AK6" s="4"/>
      <c r="AL6" s="4"/>
      <c r="AM6" s="4"/>
      <c r="AN6" s="17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27"/>
      <c r="BA6" s="4"/>
      <c r="BB6" s="4"/>
      <c r="BC6" s="4"/>
      <c r="BD6" s="4"/>
      <c r="BE6" s="4"/>
      <c r="BF6" s="27"/>
      <c r="BG6" s="27"/>
      <c r="BH6" s="4"/>
      <c r="BI6" s="4"/>
      <c r="BJ6" s="5">
        <f t="shared" si="0"/>
        <v>0</v>
      </c>
      <c r="BK6" s="42"/>
      <c r="BL6" s="42"/>
      <c r="BM6" s="51"/>
    </row>
    <row r="7" spans="1:65" s="9" customFormat="1" ht="11.25" customHeight="1" hidden="1">
      <c r="A7" s="43"/>
      <c r="B7" s="9" t="str">
        <f>"BÉLYEGZŐ"</f>
        <v>BÉLYEGZŐ</v>
      </c>
      <c r="C7" s="9" t="str">
        <f>"COLOP 20"</f>
        <v>COLOP 20</v>
      </c>
      <c r="D7" s="21"/>
      <c r="E7" s="27"/>
      <c r="F7" s="27"/>
      <c r="G7" s="4"/>
      <c r="H7" s="34"/>
      <c r="I7" s="27"/>
      <c r="J7" s="27"/>
      <c r="K7" s="27"/>
      <c r="L7" s="27"/>
      <c r="M7" s="27"/>
      <c r="N7" s="27"/>
      <c r="O7" s="27"/>
      <c r="P7" s="27"/>
      <c r="Q7" s="4"/>
      <c r="R7" s="4"/>
      <c r="S7" s="4"/>
      <c r="T7" s="4"/>
      <c r="U7" s="4"/>
      <c r="V7" s="4"/>
      <c r="W7" s="27"/>
      <c r="X7" s="27"/>
      <c r="Y7" s="27"/>
      <c r="Z7" s="4"/>
      <c r="AA7" s="4"/>
      <c r="AB7" s="27"/>
      <c r="AC7" s="27"/>
      <c r="AD7" s="10"/>
      <c r="AE7" s="4"/>
      <c r="AF7" s="4"/>
      <c r="AG7" s="4"/>
      <c r="AH7" s="4"/>
      <c r="AI7" s="4"/>
      <c r="AJ7" s="4"/>
      <c r="AK7" s="4"/>
      <c r="AL7" s="4"/>
      <c r="AM7" s="4"/>
      <c r="AN7" s="17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27"/>
      <c r="BA7" s="4"/>
      <c r="BB7" s="4"/>
      <c r="BC7" s="4"/>
      <c r="BD7" s="4"/>
      <c r="BE7" s="4"/>
      <c r="BF7" s="27"/>
      <c r="BG7" s="27"/>
      <c r="BH7" s="4"/>
      <c r="BI7" s="4"/>
      <c r="BJ7" s="5">
        <f t="shared" si="0"/>
        <v>0</v>
      </c>
      <c r="BK7" s="42"/>
      <c r="BL7" s="42"/>
      <c r="BM7" s="51"/>
    </row>
    <row r="8" spans="1:65" s="9" customFormat="1" ht="11.25" customHeight="1" hidden="1">
      <c r="A8" s="43"/>
      <c r="B8" s="9" t="str">
        <f>"BÉLYEGZŐ (DÁTUM)"</f>
        <v>BÉLYEGZŐ (DÁTUM)</v>
      </c>
      <c r="C8" s="9" t="str">
        <f>"COLOP S120"</f>
        <v>COLOP S120</v>
      </c>
      <c r="D8" s="21"/>
      <c r="E8" s="27"/>
      <c r="F8" s="27"/>
      <c r="G8" s="4"/>
      <c r="H8" s="34"/>
      <c r="I8" s="27"/>
      <c r="J8" s="27"/>
      <c r="K8" s="27"/>
      <c r="L8" s="27"/>
      <c r="M8" s="27"/>
      <c r="N8" s="27"/>
      <c r="O8" s="27"/>
      <c r="P8" s="27"/>
      <c r="Q8" s="4"/>
      <c r="R8" s="4"/>
      <c r="S8" s="4"/>
      <c r="T8" s="4"/>
      <c r="U8" s="4"/>
      <c r="V8" s="4"/>
      <c r="W8" s="27"/>
      <c r="X8" s="27"/>
      <c r="Y8" s="27"/>
      <c r="Z8" s="4"/>
      <c r="AA8" s="4"/>
      <c r="AB8" s="27"/>
      <c r="AC8" s="27"/>
      <c r="AD8" s="10"/>
      <c r="AE8" s="4"/>
      <c r="AF8" s="4"/>
      <c r="AG8" s="4"/>
      <c r="AH8" s="4"/>
      <c r="AI8" s="4"/>
      <c r="AJ8" s="4"/>
      <c r="AK8" s="4"/>
      <c r="AL8" s="4"/>
      <c r="AM8" s="4"/>
      <c r="AN8" s="17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27"/>
      <c r="BA8" s="4"/>
      <c r="BB8" s="4"/>
      <c r="BC8" s="4"/>
      <c r="BD8" s="4"/>
      <c r="BE8" s="4"/>
      <c r="BF8" s="27"/>
      <c r="BG8" s="27"/>
      <c r="BH8" s="4"/>
      <c r="BI8" s="4"/>
      <c r="BJ8" s="5">
        <f t="shared" si="0"/>
        <v>0</v>
      </c>
      <c r="BK8" s="42"/>
      <c r="BL8" s="42"/>
      <c r="BM8" s="51"/>
    </row>
    <row r="9" spans="1:65" s="9" customFormat="1" ht="11.25" customHeight="1" hidden="1">
      <c r="A9" s="43"/>
      <c r="B9" s="9" t="str">
        <f aca="true" t="shared" si="1" ref="B9:B16">"BÉLYEGZŐPÁRNA"</f>
        <v>BÉLYEGZŐPÁRNA</v>
      </c>
      <c r="C9" s="9" t="str">
        <f>"COLOP BP. 4912"</f>
        <v>COLOP BP. 4912</v>
      </c>
      <c r="D9" s="21"/>
      <c r="E9" s="27"/>
      <c r="F9" s="27"/>
      <c r="G9" s="4"/>
      <c r="H9" s="34"/>
      <c r="I9" s="27"/>
      <c r="J9" s="27"/>
      <c r="K9" s="27"/>
      <c r="L9" s="27"/>
      <c r="M9" s="27"/>
      <c r="N9" s="27"/>
      <c r="O9" s="27"/>
      <c r="P9" s="27"/>
      <c r="Q9" s="4"/>
      <c r="R9" s="4"/>
      <c r="S9" s="4"/>
      <c r="T9" s="4"/>
      <c r="U9" s="4"/>
      <c r="V9" s="4"/>
      <c r="W9" s="27"/>
      <c r="X9" s="27"/>
      <c r="Y9" s="27"/>
      <c r="Z9" s="4"/>
      <c r="AA9" s="4"/>
      <c r="AB9" s="27"/>
      <c r="AC9" s="27"/>
      <c r="AD9" s="10"/>
      <c r="AE9" s="4"/>
      <c r="AF9" s="4"/>
      <c r="AG9" s="4"/>
      <c r="AH9" s="4"/>
      <c r="AI9" s="4"/>
      <c r="AJ9" s="4"/>
      <c r="AK9" s="4"/>
      <c r="AL9" s="4"/>
      <c r="AM9" s="4"/>
      <c r="AN9" s="17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27"/>
      <c r="BA9" s="4"/>
      <c r="BB9" s="4"/>
      <c r="BC9" s="4"/>
      <c r="BD9" s="4"/>
      <c r="BE9" s="4"/>
      <c r="BF9" s="27"/>
      <c r="BG9" s="27"/>
      <c r="BH9" s="4"/>
      <c r="BI9" s="4"/>
      <c r="BJ9" s="5">
        <f t="shared" si="0"/>
        <v>0</v>
      </c>
      <c r="BK9" s="42"/>
      <c r="BL9" s="42"/>
      <c r="BM9" s="51"/>
    </row>
    <row r="10" spans="1:65" s="9" customFormat="1" ht="11.25" customHeight="1" hidden="1">
      <c r="A10" s="43"/>
      <c r="B10" s="9" t="str">
        <f t="shared" si="1"/>
        <v>BÉLYEGZŐPÁRNA</v>
      </c>
      <c r="C10" s="9" t="str">
        <f>"COLOP BP. 4913"</f>
        <v>COLOP BP. 4913</v>
      </c>
      <c r="D10" s="21"/>
      <c r="E10" s="27"/>
      <c r="F10" s="27"/>
      <c r="G10" s="4"/>
      <c r="H10" s="34"/>
      <c r="I10" s="27"/>
      <c r="J10" s="27"/>
      <c r="K10" s="27"/>
      <c r="L10" s="27"/>
      <c r="M10" s="27"/>
      <c r="N10" s="27"/>
      <c r="O10" s="27"/>
      <c r="P10" s="27"/>
      <c r="Q10" s="4"/>
      <c r="R10" s="4"/>
      <c r="S10" s="4"/>
      <c r="T10" s="4"/>
      <c r="U10" s="4"/>
      <c r="V10" s="4"/>
      <c r="W10" s="27"/>
      <c r="X10" s="27"/>
      <c r="Y10" s="27"/>
      <c r="Z10" s="4"/>
      <c r="AA10" s="4"/>
      <c r="AB10" s="27"/>
      <c r="AC10" s="27"/>
      <c r="AD10" s="10"/>
      <c r="AE10" s="4"/>
      <c r="AF10" s="4"/>
      <c r="AG10" s="4"/>
      <c r="AH10" s="4"/>
      <c r="AI10" s="4"/>
      <c r="AJ10" s="4"/>
      <c r="AK10" s="4"/>
      <c r="AL10" s="4"/>
      <c r="AM10" s="4"/>
      <c r="AN10" s="17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27"/>
      <c r="BA10" s="4"/>
      <c r="BB10" s="4"/>
      <c r="BC10" s="4"/>
      <c r="BD10" s="4"/>
      <c r="BE10" s="4"/>
      <c r="BF10" s="27"/>
      <c r="BG10" s="27"/>
      <c r="BH10" s="4"/>
      <c r="BI10" s="4"/>
      <c r="BJ10" s="5">
        <f t="shared" si="0"/>
        <v>0</v>
      </c>
      <c r="BK10" s="42"/>
      <c r="BL10" s="42"/>
      <c r="BM10" s="51"/>
    </row>
    <row r="11" spans="1:65" s="9" customFormat="1" ht="11.25" customHeight="1" hidden="1">
      <c r="A11" s="43"/>
      <c r="B11" s="9" t="str">
        <f t="shared" si="1"/>
        <v>BÉLYEGZŐPÁRNA</v>
      </c>
      <c r="C11" s="9" t="str">
        <f>"COLOP E 10"</f>
        <v>COLOP E 10</v>
      </c>
      <c r="D11" s="21"/>
      <c r="E11" s="27"/>
      <c r="F11" s="27"/>
      <c r="G11" s="4"/>
      <c r="H11" s="34"/>
      <c r="I11" s="27"/>
      <c r="J11" s="27"/>
      <c r="K11" s="27"/>
      <c r="L11" s="27"/>
      <c r="M11" s="27"/>
      <c r="N11" s="27"/>
      <c r="O11" s="27"/>
      <c r="P11" s="27"/>
      <c r="Q11" s="4"/>
      <c r="R11" s="4"/>
      <c r="S11" s="4"/>
      <c r="T11" s="4"/>
      <c r="U11" s="4"/>
      <c r="V11" s="4"/>
      <c r="W11" s="27"/>
      <c r="X11" s="27"/>
      <c r="Y11" s="27"/>
      <c r="Z11" s="4"/>
      <c r="AA11" s="4"/>
      <c r="AB11" s="27"/>
      <c r="AC11" s="27"/>
      <c r="AD11" s="10"/>
      <c r="AE11" s="4"/>
      <c r="AF11" s="4"/>
      <c r="AG11" s="4"/>
      <c r="AH11" s="4"/>
      <c r="AI11" s="4"/>
      <c r="AJ11" s="4"/>
      <c r="AK11" s="4"/>
      <c r="AL11" s="4"/>
      <c r="AM11" s="4"/>
      <c r="AN11" s="17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7"/>
      <c r="BA11" s="4"/>
      <c r="BB11" s="4"/>
      <c r="BC11" s="4"/>
      <c r="BD11" s="4"/>
      <c r="BE11" s="4"/>
      <c r="BF11" s="27"/>
      <c r="BG11" s="27"/>
      <c r="BH11" s="4"/>
      <c r="BI11" s="4"/>
      <c r="BJ11" s="5">
        <f t="shared" si="0"/>
        <v>0</v>
      </c>
      <c r="BK11" s="42"/>
      <c r="BL11" s="42"/>
      <c r="BM11" s="51"/>
    </row>
    <row r="12" spans="1:65" s="9" customFormat="1" ht="11.25" customHeight="1" hidden="1">
      <c r="A12" s="43"/>
      <c r="B12" s="9" t="str">
        <f t="shared" si="1"/>
        <v>BÉLYEGZŐPÁRNA</v>
      </c>
      <c r="C12" s="9" t="str">
        <f>"COLOP E 30"</f>
        <v>COLOP E 30</v>
      </c>
      <c r="D12" s="21"/>
      <c r="E12" s="27"/>
      <c r="F12" s="27"/>
      <c r="G12" s="4"/>
      <c r="H12" s="34"/>
      <c r="I12" s="27"/>
      <c r="J12" s="27"/>
      <c r="K12" s="27"/>
      <c r="L12" s="27"/>
      <c r="M12" s="27"/>
      <c r="N12" s="27"/>
      <c r="O12" s="27"/>
      <c r="P12" s="27"/>
      <c r="Q12" s="4"/>
      <c r="R12" s="4"/>
      <c r="S12" s="4"/>
      <c r="T12" s="4"/>
      <c r="U12" s="4"/>
      <c r="V12" s="4"/>
      <c r="W12" s="27"/>
      <c r="X12" s="27"/>
      <c r="Y12" s="27"/>
      <c r="Z12" s="4"/>
      <c r="AA12" s="4"/>
      <c r="AB12" s="27"/>
      <c r="AC12" s="27"/>
      <c r="AD12" s="10"/>
      <c r="AE12" s="4"/>
      <c r="AF12" s="4"/>
      <c r="AG12" s="4"/>
      <c r="AH12" s="4"/>
      <c r="AI12" s="4"/>
      <c r="AJ12" s="4"/>
      <c r="AK12" s="4"/>
      <c r="AL12" s="4"/>
      <c r="AM12" s="4"/>
      <c r="AN12" s="17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7"/>
      <c r="BA12" s="4"/>
      <c r="BB12" s="4"/>
      <c r="BC12" s="4"/>
      <c r="BD12" s="4"/>
      <c r="BE12" s="4"/>
      <c r="BF12" s="27"/>
      <c r="BG12" s="27"/>
      <c r="BH12" s="4"/>
      <c r="BI12" s="4"/>
      <c r="BJ12" s="5">
        <f t="shared" si="0"/>
        <v>0</v>
      </c>
      <c r="BK12" s="42"/>
      <c r="BL12" s="42"/>
      <c r="BM12" s="51"/>
    </row>
    <row r="13" spans="1:65" s="9" customFormat="1" ht="11.25" customHeight="1" hidden="1">
      <c r="A13" s="43"/>
      <c r="B13" s="9" t="str">
        <f t="shared" si="1"/>
        <v>BÉLYEGZŐPÁRNA</v>
      </c>
      <c r="C13" s="9" t="str">
        <f>"COLOP E 40"</f>
        <v>COLOP E 40</v>
      </c>
      <c r="D13" s="21"/>
      <c r="E13" s="27"/>
      <c r="F13" s="27"/>
      <c r="G13" s="4"/>
      <c r="H13" s="34"/>
      <c r="I13" s="27"/>
      <c r="J13" s="27"/>
      <c r="K13" s="27"/>
      <c r="L13" s="27"/>
      <c r="M13" s="27"/>
      <c r="N13" s="27"/>
      <c r="O13" s="27"/>
      <c r="P13" s="27"/>
      <c r="Q13" s="4"/>
      <c r="R13" s="4"/>
      <c r="S13" s="4"/>
      <c r="T13" s="4"/>
      <c r="U13" s="4"/>
      <c r="V13" s="4"/>
      <c r="W13" s="27"/>
      <c r="X13" s="27"/>
      <c r="Y13" s="27"/>
      <c r="Z13" s="4"/>
      <c r="AA13" s="4"/>
      <c r="AB13" s="27"/>
      <c r="AC13" s="27"/>
      <c r="AD13" s="10"/>
      <c r="AE13" s="4"/>
      <c r="AF13" s="4"/>
      <c r="AG13" s="4"/>
      <c r="AH13" s="4"/>
      <c r="AI13" s="4"/>
      <c r="AJ13" s="4"/>
      <c r="AK13" s="4"/>
      <c r="AL13" s="4"/>
      <c r="AM13" s="4"/>
      <c r="AN13" s="17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27"/>
      <c r="BA13" s="4"/>
      <c r="BB13" s="4"/>
      <c r="BC13" s="4"/>
      <c r="BD13" s="4"/>
      <c r="BE13" s="4"/>
      <c r="BF13" s="27"/>
      <c r="BG13" s="27"/>
      <c r="BH13" s="4"/>
      <c r="BI13" s="4"/>
      <c r="BJ13" s="5">
        <f t="shared" si="0"/>
        <v>0</v>
      </c>
      <c r="BK13" s="42"/>
      <c r="BL13" s="42"/>
      <c r="BM13" s="51"/>
    </row>
    <row r="14" spans="1:65" s="9" customFormat="1" ht="11.25" customHeight="1" hidden="1">
      <c r="A14" s="43"/>
      <c r="B14" s="9" t="str">
        <f t="shared" si="1"/>
        <v>BÉLYEGZŐPÁRNA</v>
      </c>
      <c r="C14" s="9" t="str">
        <f>"KORES"</f>
        <v>KORES</v>
      </c>
      <c r="D14" s="21"/>
      <c r="E14" s="27"/>
      <c r="F14" s="27"/>
      <c r="G14" s="4"/>
      <c r="H14" s="34"/>
      <c r="I14" s="27"/>
      <c r="J14" s="27"/>
      <c r="K14" s="27"/>
      <c r="L14" s="27"/>
      <c r="M14" s="27"/>
      <c r="N14" s="27"/>
      <c r="O14" s="27"/>
      <c r="P14" s="27"/>
      <c r="Q14" s="4"/>
      <c r="R14" s="4"/>
      <c r="S14" s="4"/>
      <c r="T14" s="4"/>
      <c r="U14" s="4"/>
      <c r="V14" s="4"/>
      <c r="W14" s="27"/>
      <c r="X14" s="27"/>
      <c r="Y14" s="27"/>
      <c r="Z14" s="4"/>
      <c r="AA14" s="4"/>
      <c r="AB14" s="27"/>
      <c r="AC14" s="27"/>
      <c r="AD14" s="10"/>
      <c r="AE14" s="4"/>
      <c r="AF14" s="4"/>
      <c r="AG14" s="4"/>
      <c r="AH14" s="4"/>
      <c r="AI14" s="4"/>
      <c r="AJ14" s="4"/>
      <c r="AK14" s="4"/>
      <c r="AL14" s="4"/>
      <c r="AM14" s="4"/>
      <c r="AN14" s="17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7"/>
      <c r="BA14" s="4"/>
      <c r="BB14" s="4"/>
      <c r="BC14" s="4"/>
      <c r="BD14" s="4"/>
      <c r="BE14" s="4"/>
      <c r="BF14" s="27"/>
      <c r="BG14" s="27"/>
      <c r="BH14" s="4"/>
      <c r="BI14" s="4"/>
      <c r="BJ14" s="5">
        <f t="shared" si="0"/>
        <v>0</v>
      </c>
      <c r="BK14" s="42"/>
      <c r="BL14" s="42"/>
      <c r="BM14" s="51"/>
    </row>
    <row r="15" spans="1:65" s="9" customFormat="1" ht="11.25" customHeight="1" hidden="1">
      <c r="A15" s="43"/>
      <c r="B15" s="9" t="str">
        <f t="shared" si="1"/>
        <v>BÉLYEGZŐPÁRNA</v>
      </c>
      <c r="C15" s="9" t="str">
        <f>"LACO"</f>
        <v>LACO</v>
      </c>
      <c r="D15" s="21"/>
      <c r="E15" s="27"/>
      <c r="F15" s="27"/>
      <c r="G15" s="4"/>
      <c r="H15" s="34"/>
      <c r="I15" s="27"/>
      <c r="J15" s="27"/>
      <c r="K15" s="27"/>
      <c r="L15" s="27"/>
      <c r="M15" s="27"/>
      <c r="N15" s="27"/>
      <c r="O15" s="27"/>
      <c r="P15" s="27"/>
      <c r="Q15" s="4"/>
      <c r="R15" s="4"/>
      <c r="S15" s="4"/>
      <c r="T15" s="4"/>
      <c r="U15" s="4"/>
      <c r="V15" s="4"/>
      <c r="W15" s="27"/>
      <c r="X15" s="27"/>
      <c r="Y15" s="27"/>
      <c r="Z15" s="4"/>
      <c r="AA15" s="4"/>
      <c r="AB15" s="27"/>
      <c r="AC15" s="27"/>
      <c r="AD15" s="10"/>
      <c r="AE15" s="4"/>
      <c r="AF15" s="4"/>
      <c r="AG15" s="4"/>
      <c r="AH15" s="4"/>
      <c r="AI15" s="4"/>
      <c r="AJ15" s="4"/>
      <c r="AK15" s="4"/>
      <c r="AL15" s="4"/>
      <c r="AM15" s="4"/>
      <c r="AN15" s="17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27"/>
      <c r="BA15" s="4"/>
      <c r="BB15" s="4"/>
      <c r="BC15" s="4"/>
      <c r="BD15" s="4"/>
      <c r="BE15" s="4"/>
      <c r="BF15" s="27"/>
      <c r="BG15" s="27"/>
      <c r="BH15" s="4"/>
      <c r="BI15" s="4"/>
      <c r="BJ15" s="5" t="e">
        <f>SUM(#REF!)</f>
        <v>#REF!</v>
      </c>
      <c r="BK15" s="42"/>
      <c r="BL15" s="42"/>
      <c r="BM15" s="51"/>
    </row>
    <row r="16" spans="1:65" s="9" customFormat="1" ht="11.25" customHeight="1" hidden="1">
      <c r="A16" s="43"/>
      <c r="B16" s="9" t="str">
        <f t="shared" si="1"/>
        <v>BÉLYEGZŐPÁRNA</v>
      </c>
      <c r="C16" s="9" t="str">
        <f>"TRODAT 4912"</f>
        <v>TRODAT 4912</v>
      </c>
      <c r="D16" s="21"/>
      <c r="E16" s="27"/>
      <c r="F16" s="27"/>
      <c r="G16" s="4"/>
      <c r="H16" s="34"/>
      <c r="I16" s="27"/>
      <c r="J16" s="27"/>
      <c r="K16" s="27"/>
      <c r="L16" s="27"/>
      <c r="M16" s="27"/>
      <c r="N16" s="27"/>
      <c r="O16" s="27"/>
      <c r="P16" s="27"/>
      <c r="Q16" s="4"/>
      <c r="R16" s="4"/>
      <c r="S16" s="4"/>
      <c r="T16" s="4"/>
      <c r="U16" s="4"/>
      <c r="V16" s="4"/>
      <c r="W16" s="27"/>
      <c r="X16" s="27"/>
      <c r="Y16" s="27"/>
      <c r="Z16" s="4"/>
      <c r="AA16" s="4"/>
      <c r="AB16" s="27"/>
      <c r="AC16" s="27"/>
      <c r="AD16" s="10"/>
      <c r="AE16" s="4"/>
      <c r="AF16" s="4"/>
      <c r="AG16" s="4"/>
      <c r="AH16" s="4"/>
      <c r="AI16" s="4"/>
      <c r="AJ16" s="4"/>
      <c r="AK16" s="4"/>
      <c r="AL16" s="4"/>
      <c r="AM16" s="4"/>
      <c r="AN16" s="17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27"/>
      <c r="BA16" s="4"/>
      <c r="BB16" s="4"/>
      <c r="BC16" s="4"/>
      <c r="BD16" s="4"/>
      <c r="BE16" s="4"/>
      <c r="BF16" s="27"/>
      <c r="BG16" s="27"/>
      <c r="BH16" s="4"/>
      <c r="BI16" s="4"/>
      <c r="BJ16" s="5" t="e">
        <f>SUM(#REF!)</f>
        <v>#REF!</v>
      </c>
      <c r="BK16" s="42"/>
      <c r="BL16" s="42"/>
      <c r="BM16" s="51"/>
    </row>
    <row r="17" spans="1:65" s="54" customFormat="1" ht="11.25" customHeight="1">
      <c r="A17" s="63" t="s">
        <v>312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5"/>
    </row>
    <row r="18" spans="1:66" s="9" customFormat="1" ht="12.7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56"/>
      <c r="BL18" s="56"/>
      <c r="BM18" s="49"/>
      <c r="BN18" s="47"/>
    </row>
    <row r="19" spans="1:67" s="9" customFormat="1" ht="12.75">
      <c r="A19" s="26" t="s">
        <v>178</v>
      </c>
      <c r="B19" s="55" t="s">
        <v>179</v>
      </c>
      <c r="C19" s="55" t="s">
        <v>180</v>
      </c>
      <c r="D19" s="21"/>
      <c r="E19" s="34"/>
      <c r="F19" s="34"/>
      <c r="G19" s="17"/>
      <c r="H19" s="34"/>
      <c r="I19" s="34"/>
      <c r="J19" s="34"/>
      <c r="K19" s="34"/>
      <c r="L19" s="34"/>
      <c r="M19" s="34"/>
      <c r="N19" s="34"/>
      <c r="O19" s="34"/>
      <c r="P19" s="34"/>
      <c r="Q19" s="17"/>
      <c r="R19" s="17"/>
      <c r="S19" s="17"/>
      <c r="T19" s="17"/>
      <c r="U19" s="17"/>
      <c r="V19" s="17"/>
      <c r="W19" s="34"/>
      <c r="X19" s="34"/>
      <c r="Y19" s="34"/>
      <c r="Z19" s="17"/>
      <c r="AA19" s="17"/>
      <c r="AB19" s="34"/>
      <c r="AC19" s="34"/>
      <c r="AD19" s="40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34"/>
      <c r="BA19" s="17"/>
      <c r="BB19" s="17"/>
      <c r="BC19" s="17"/>
      <c r="BD19" s="17"/>
      <c r="BE19" s="17"/>
      <c r="BF19" s="34"/>
      <c r="BG19" s="34"/>
      <c r="BH19" s="17"/>
      <c r="BI19" s="17"/>
      <c r="BJ19" s="58" t="s">
        <v>181</v>
      </c>
      <c r="BK19" s="59"/>
      <c r="BL19" s="57" t="s">
        <v>182</v>
      </c>
      <c r="BM19" s="21" t="s">
        <v>183</v>
      </c>
      <c r="BN19" s="50"/>
      <c r="BO19" s="47"/>
    </row>
    <row r="20" spans="1:67" s="9" customFormat="1" ht="11.25">
      <c r="A20" s="43" t="s">
        <v>185</v>
      </c>
      <c r="B20" s="9" t="str">
        <f>"ÁRAZÓSZALAG"</f>
        <v>ÁRAZÓSZALAG</v>
      </c>
      <c r="D20" s="17" t="s">
        <v>31</v>
      </c>
      <c r="E20" s="27"/>
      <c r="F20" s="27"/>
      <c r="G20" s="4"/>
      <c r="H20" s="34"/>
      <c r="I20" s="27"/>
      <c r="J20" s="27"/>
      <c r="K20" s="27"/>
      <c r="L20" s="27"/>
      <c r="M20" s="27"/>
      <c r="N20" s="27"/>
      <c r="O20" s="27"/>
      <c r="P20" s="27"/>
      <c r="Q20" s="4"/>
      <c r="R20" s="4"/>
      <c r="S20" s="4"/>
      <c r="T20" s="4"/>
      <c r="U20" s="4"/>
      <c r="V20" s="4"/>
      <c r="W20" s="27"/>
      <c r="X20" s="27"/>
      <c r="Y20" s="27"/>
      <c r="Z20" s="4"/>
      <c r="AA20" s="4"/>
      <c r="AB20" s="27"/>
      <c r="AC20" s="27"/>
      <c r="AD20" s="10"/>
      <c r="AE20" s="4"/>
      <c r="AF20" s="4"/>
      <c r="AG20" s="4"/>
      <c r="AH20" s="4"/>
      <c r="AI20" s="4"/>
      <c r="AJ20" s="4"/>
      <c r="AK20" s="4"/>
      <c r="AL20" s="4"/>
      <c r="AM20" s="4"/>
      <c r="AN20" s="17"/>
      <c r="AO20" s="4"/>
      <c r="AP20" s="4"/>
      <c r="AQ20" s="4"/>
      <c r="AR20" s="4"/>
      <c r="AS20" s="4"/>
      <c r="AT20" s="4"/>
      <c r="AU20" s="4">
        <v>1</v>
      </c>
      <c r="AV20" s="4"/>
      <c r="AW20" s="4"/>
      <c r="AX20" s="4"/>
      <c r="AY20" s="4"/>
      <c r="AZ20" s="27"/>
      <c r="BA20" s="4"/>
      <c r="BB20" s="4"/>
      <c r="BC20" s="4"/>
      <c r="BD20" s="4"/>
      <c r="BE20" s="4"/>
      <c r="BF20" s="27"/>
      <c r="BG20" s="27"/>
      <c r="BH20" s="4"/>
      <c r="BI20" s="4"/>
      <c r="BJ20" s="5">
        <f>SUM(E20:BI20)</f>
        <v>1</v>
      </c>
      <c r="BK20" s="41" t="s">
        <v>31</v>
      </c>
      <c r="BL20" s="41"/>
      <c r="BM20" s="51"/>
      <c r="BO20" s="8"/>
    </row>
    <row r="21" spans="1:65" s="8" customFormat="1" ht="11.25">
      <c r="A21" s="44" t="s">
        <v>186</v>
      </c>
      <c r="B21" s="8" t="s">
        <v>90</v>
      </c>
      <c r="D21" s="21" t="s">
        <v>80</v>
      </c>
      <c r="E21" s="28"/>
      <c r="F21" s="28"/>
      <c r="G21" s="5"/>
      <c r="H21" s="31"/>
      <c r="I21" s="28"/>
      <c r="J21" s="28"/>
      <c r="K21" s="28"/>
      <c r="L21" s="28"/>
      <c r="M21" s="28"/>
      <c r="N21" s="28"/>
      <c r="O21" s="28"/>
      <c r="P21" s="28"/>
      <c r="Q21" s="5"/>
      <c r="R21" s="5"/>
      <c r="S21" s="5"/>
      <c r="T21" s="5"/>
      <c r="U21" s="5"/>
      <c r="V21" s="5"/>
      <c r="W21" s="28"/>
      <c r="X21" s="28"/>
      <c r="Y21" s="28"/>
      <c r="Z21" s="5"/>
      <c r="AA21" s="5"/>
      <c r="AB21" s="28"/>
      <c r="AC21" s="28"/>
      <c r="AD21" s="11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>
        <v>5</v>
      </c>
      <c r="AT21" s="5">
        <v>5</v>
      </c>
      <c r="AU21" s="5">
        <v>10</v>
      </c>
      <c r="AV21" s="5"/>
      <c r="AW21" s="5"/>
      <c r="AX21" s="5"/>
      <c r="AY21" s="5"/>
      <c r="AZ21" s="28"/>
      <c r="BA21" s="5"/>
      <c r="BB21" s="5"/>
      <c r="BC21" s="5"/>
      <c r="BD21" s="5"/>
      <c r="BE21" s="5"/>
      <c r="BF21" s="28"/>
      <c r="BG21" s="28"/>
      <c r="BH21" s="5"/>
      <c r="BI21" s="5"/>
      <c r="BJ21" s="5">
        <f aca="true" t="shared" si="2" ref="BJ21:BJ74">SUM(E21:BI21)</f>
        <v>20</v>
      </c>
      <c r="BK21" s="42" t="s">
        <v>80</v>
      </c>
      <c r="BL21" s="42"/>
      <c r="BM21" s="13"/>
    </row>
    <row r="22" spans="1:65" s="8" customFormat="1" ht="11.25" hidden="1">
      <c r="A22" s="44"/>
      <c r="B22" s="8" t="s">
        <v>103</v>
      </c>
      <c r="C22" s="8" t="s">
        <v>104</v>
      </c>
      <c r="D22" s="21" t="s">
        <v>22</v>
      </c>
      <c r="E22" s="28"/>
      <c r="F22" s="28"/>
      <c r="G22" s="5"/>
      <c r="H22" s="34"/>
      <c r="I22" s="28"/>
      <c r="J22" s="28"/>
      <c r="K22" s="28"/>
      <c r="L22" s="28"/>
      <c r="M22" s="28"/>
      <c r="N22" s="28"/>
      <c r="O22" s="28"/>
      <c r="P22" s="28"/>
      <c r="Q22" s="5"/>
      <c r="R22" s="5"/>
      <c r="S22" s="5"/>
      <c r="T22" s="5"/>
      <c r="U22" s="5"/>
      <c r="V22" s="5"/>
      <c r="W22" s="28"/>
      <c r="X22" s="28"/>
      <c r="Y22" s="28"/>
      <c r="Z22" s="5"/>
      <c r="AA22" s="5"/>
      <c r="AB22" s="28"/>
      <c r="AC22" s="28"/>
      <c r="AD22" s="11"/>
      <c r="AE22" s="5"/>
      <c r="AF22" s="5"/>
      <c r="AG22" s="5"/>
      <c r="AH22" s="5"/>
      <c r="AI22" s="5"/>
      <c r="AJ22" s="5"/>
      <c r="AK22" s="5"/>
      <c r="AL22" s="5"/>
      <c r="AM22" s="5"/>
      <c r="AN22" s="17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28"/>
      <c r="BA22" s="5"/>
      <c r="BB22" s="5"/>
      <c r="BC22" s="5"/>
      <c r="BD22" s="5"/>
      <c r="BE22" s="5"/>
      <c r="BF22" s="28"/>
      <c r="BG22" s="28"/>
      <c r="BH22" s="5"/>
      <c r="BI22" s="5"/>
      <c r="BJ22" s="5">
        <f t="shared" si="2"/>
        <v>0</v>
      </c>
      <c r="BK22" s="42" t="s">
        <v>22</v>
      </c>
      <c r="BL22" s="42"/>
      <c r="BM22" s="13"/>
    </row>
    <row r="23" spans="1:65" s="8" customFormat="1" ht="11.25" hidden="1">
      <c r="A23" s="44"/>
      <c r="B23" s="8" t="s">
        <v>103</v>
      </c>
      <c r="C23" s="8" t="s">
        <v>104</v>
      </c>
      <c r="D23" s="21" t="s">
        <v>22</v>
      </c>
      <c r="E23" s="28"/>
      <c r="F23" s="28"/>
      <c r="G23" s="5"/>
      <c r="H23" s="34"/>
      <c r="I23" s="28"/>
      <c r="J23" s="28"/>
      <c r="K23" s="28"/>
      <c r="L23" s="28"/>
      <c r="M23" s="28"/>
      <c r="N23" s="28"/>
      <c r="O23" s="28"/>
      <c r="P23" s="28"/>
      <c r="Q23" s="5"/>
      <c r="R23" s="5"/>
      <c r="S23" s="5"/>
      <c r="T23" s="5"/>
      <c r="U23" s="5"/>
      <c r="V23" s="5"/>
      <c r="W23" s="28"/>
      <c r="X23" s="28"/>
      <c r="Y23" s="28"/>
      <c r="Z23" s="5"/>
      <c r="AA23" s="5"/>
      <c r="AB23" s="28"/>
      <c r="AC23" s="28"/>
      <c r="AD23" s="11"/>
      <c r="AE23" s="5"/>
      <c r="AF23" s="5"/>
      <c r="AG23" s="5"/>
      <c r="AH23" s="5"/>
      <c r="AI23" s="5"/>
      <c r="AJ23" s="5"/>
      <c r="AK23" s="5"/>
      <c r="AL23" s="5"/>
      <c r="AM23" s="5"/>
      <c r="AN23" s="17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28"/>
      <c r="BA23" s="5"/>
      <c r="BB23" s="5"/>
      <c r="BC23" s="5"/>
      <c r="BD23" s="5"/>
      <c r="BE23" s="5"/>
      <c r="BF23" s="28"/>
      <c r="BG23" s="28"/>
      <c r="BH23" s="5"/>
      <c r="BI23" s="5"/>
      <c r="BJ23" s="5">
        <f t="shared" si="2"/>
        <v>0</v>
      </c>
      <c r="BK23" s="42" t="s">
        <v>22</v>
      </c>
      <c r="BL23" s="42"/>
      <c r="BM23" s="13"/>
    </row>
    <row r="24" spans="1:65" s="8" customFormat="1" ht="11.25" hidden="1">
      <c r="A24" s="44"/>
      <c r="B24" s="8" t="s">
        <v>103</v>
      </c>
      <c r="C24" s="8" t="s">
        <v>104</v>
      </c>
      <c r="D24" s="21" t="s">
        <v>22</v>
      </c>
      <c r="E24" s="28"/>
      <c r="F24" s="28"/>
      <c r="G24" s="5"/>
      <c r="H24" s="34"/>
      <c r="I24" s="28"/>
      <c r="J24" s="28"/>
      <c r="K24" s="28"/>
      <c r="L24" s="28"/>
      <c r="M24" s="28"/>
      <c r="N24" s="28"/>
      <c r="O24" s="28"/>
      <c r="P24" s="28"/>
      <c r="Q24" s="5"/>
      <c r="R24" s="5"/>
      <c r="S24" s="5"/>
      <c r="T24" s="5"/>
      <c r="U24" s="5"/>
      <c r="V24" s="5"/>
      <c r="W24" s="28"/>
      <c r="X24" s="28"/>
      <c r="Y24" s="28"/>
      <c r="Z24" s="5"/>
      <c r="AA24" s="5"/>
      <c r="AB24" s="28"/>
      <c r="AC24" s="28"/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17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28"/>
      <c r="BA24" s="5"/>
      <c r="BB24" s="5"/>
      <c r="BC24" s="5"/>
      <c r="BD24" s="5"/>
      <c r="BE24" s="5"/>
      <c r="BF24" s="28"/>
      <c r="BG24" s="28"/>
      <c r="BH24" s="5"/>
      <c r="BI24" s="5"/>
      <c r="BJ24" s="5">
        <f t="shared" si="2"/>
        <v>0</v>
      </c>
      <c r="BK24" s="42" t="s">
        <v>22</v>
      </c>
      <c r="BL24" s="42"/>
      <c r="BM24" s="13"/>
    </row>
    <row r="25" spans="1:65" s="8" customFormat="1" ht="11.25" hidden="1">
      <c r="A25" s="44"/>
      <c r="B25" s="8" t="s">
        <v>103</v>
      </c>
      <c r="C25" s="8" t="s">
        <v>104</v>
      </c>
      <c r="D25" s="21" t="s">
        <v>22</v>
      </c>
      <c r="E25" s="28"/>
      <c r="F25" s="28"/>
      <c r="G25" s="5"/>
      <c r="H25" s="34"/>
      <c r="I25" s="28"/>
      <c r="J25" s="28"/>
      <c r="K25" s="28"/>
      <c r="L25" s="28"/>
      <c r="M25" s="28"/>
      <c r="N25" s="28"/>
      <c r="O25" s="28"/>
      <c r="P25" s="28"/>
      <c r="Q25" s="5"/>
      <c r="R25" s="5"/>
      <c r="S25" s="5"/>
      <c r="T25" s="5"/>
      <c r="U25" s="5"/>
      <c r="V25" s="5"/>
      <c r="W25" s="28"/>
      <c r="X25" s="28"/>
      <c r="Y25" s="28"/>
      <c r="Z25" s="5"/>
      <c r="AA25" s="5"/>
      <c r="AB25" s="28"/>
      <c r="AC25" s="28"/>
      <c r="AD25" s="11"/>
      <c r="AE25" s="5"/>
      <c r="AF25" s="5"/>
      <c r="AG25" s="5"/>
      <c r="AH25" s="5"/>
      <c r="AI25" s="5"/>
      <c r="AJ25" s="5"/>
      <c r="AK25" s="5"/>
      <c r="AL25" s="5"/>
      <c r="AM25" s="5"/>
      <c r="AN25" s="17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28"/>
      <c r="BA25" s="5"/>
      <c r="BB25" s="5"/>
      <c r="BC25" s="5"/>
      <c r="BD25" s="5"/>
      <c r="BE25" s="5"/>
      <c r="BF25" s="28"/>
      <c r="BG25" s="28"/>
      <c r="BH25" s="5"/>
      <c r="BI25" s="5"/>
      <c r="BJ25" s="5">
        <f t="shared" si="2"/>
        <v>0</v>
      </c>
      <c r="BK25" s="42" t="s">
        <v>22</v>
      </c>
      <c r="BL25" s="42"/>
      <c r="BM25" s="13"/>
    </row>
    <row r="26" spans="1:65" s="8" customFormat="1" ht="11.25" hidden="1">
      <c r="A26" s="44"/>
      <c r="B26" s="8" t="s">
        <v>103</v>
      </c>
      <c r="C26" s="8" t="s">
        <v>104</v>
      </c>
      <c r="D26" s="21" t="s">
        <v>22</v>
      </c>
      <c r="E26" s="28"/>
      <c r="F26" s="28"/>
      <c r="G26" s="5"/>
      <c r="H26" s="34"/>
      <c r="I26" s="28"/>
      <c r="J26" s="28"/>
      <c r="K26" s="28"/>
      <c r="L26" s="28"/>
      <c r="M26" s="28"/>
      <c r="N26" s="28"/>
      <c r="O26" s="28"/>
      <c r="P26" s="28"/>
      <c r="Q26" s="5"/>
      <c r="R26" s="5"/>
      <c r="S26" s="5"/>
      <c r="T26" s="5"/>
      <c r="U26" s="5"/>
      <c r="V26" s="5"/>
      <c r="W26" s="28"/>
      <c r="X26" s="28"/>
      <c r="Y26" s="28"/>
      <c r="Z26" s="5"/>
      <c r="AA26" s="5"/>
      <c r="AB26" s="28"/>
      <c r="AC26" s="28"/>
      <c r="AD26" s="11"/>
      <c r="AE26" s="5"/>
      <c r="AF26" s="5"/>
      <c r="AG26" s="5"/>
      <c r="AH26" s="5"/>
      <c r="AI26" s="5"/>
      <c r="AJ26" s="5"/>
      <c r="AK26" s="5"/>
      <c r="AL26" s="5"/>
      <c r="AM26" s="5"/>
      <c r="AN26" s="17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28"/>
      <c r="BA26" s="5"/>
      <c r="BB26" s="5"/>
      <c r="BC26" s="5"/>
      <c r="BD26" s="5"/>
      <c r="BE26" s="5"/>
      <c r="BF26" s="28"/>
      <c r="BG26" s="28"/>
      <c r="BH26" s="5"/>
      <c r="BI26" s="5"/>
      <c r="BJ26" s="5">
        <f t="shared" si="2"/>
        <v>0</v>
      </c>
      <c r="BK26" s="42" t="s">
        <v>22</v>
      </c>
      <c r="BL26" s="42"/>
      <c r="BM26" s="13"/>
    </row>
    <row r="27" spans="1:65" s="8" customFormat="1" ht="11.25" hidden="1">
      <c r="A27" s="44"/>
      <c r="B27" s="8" t="s">
        <v>103</v>
      </c>
      <c r="C27" s="8" t="s">
        <v>104</v>
      </c>
      <c r="D27" s="21" t="s">
        <v>22</v>
      </c>
      <c r="E27" s="28"/>
      <c r="F27" s="28"/>
      <c r="G27" s="5"/>
      <c r="H27" s="34"/>
      <c r="I27" s="28"/>
      <c r="J27" s="28"/>
      <c r="K27" s="28"/>
      <c r="L27" s="28"/>
      <c r="M27" s="28"/>
      <c r="N27" s="28"/>
      <c r="O27" s="28"/>
      <c r="P27" s="28"/>
      <c r="Q27" s="5"/>
      <c r="R27" s="5"/>
      <c r="S27" s="5"/>
      <c r="T27" s="5"/>
      <c r="U27" s="5"/>
      <c r="V27" s="5"/>
      <c r="W27" s="28"/>
      <c r="X27" s="28"/>
      <c r="Y27" s="28"/>
      <c r="Z27" s="5"/>
      <c r="AA27" s="5"/>
      <c r="AB27" s="28"/>
      <c r="AC27" s="28"/>
      <c r="AD27" s="11"/>
      <c r="AE27" s="5"/>
      <c r="AF27" s="5"/>
      <c r="AG27" s="5"/>
      <c r="AH27" s="5"/>
      <c r="AI27" s="5"/>
      <c r="AJ27" s="5"/>
      <c r="AK27" s="5"/>
      <c r="AL27" s="5"/>
      <c r="AM27" s="5"/>
      <c r="AN27" s="17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28"/>
      <c r="BA27" s="5"/>
      <c r="BB27" s="5"/>
      <c r="BC27" s="5"/>
      <c r="BD27" s="5"/>
      <c r="BE27" s="5"/>
      <c r="BF27" s="28"/>
      <c r="BG27" s="28"/>
      <c r="BH27" s="5"/>
      <c r="BI27" s="5"/>
      <c r="BJ27" s="5">
        <f t="shared" si="2"/>
        <v>0</v>
      </c>
      <c r="BK27" s="42" t="s">
        <v>22</v>
      </c>
      <c r="BL27" s="42"/>
      <c r="BM27" s="13"/>
    </row>
    <row r="28" spans="1:65" s="8" customFormat="1" ht="11.25" hidden="1">
      <c r="A28" s="44"/>
      <c r="B28" s="8" t="s">
        <v>103</v>
      </c>
      <c r="C28" s="8" t="s">
        <v>104</v>
      </c>
      <c r="D28" s="21" t="s">
        <v>22</v>
      </c>
      <c r="E28" s="28"/>
      <c r="F28" s="28"/>
      <c r="G28" s="5"/>
      <c r="H28" s="34"/>
      <c r="I28" s="28"/>
      <c r="J28" s="28"/>
      <c r="K28" s="28"/>
      <c r="L28" s="28"/>
      <c r="M28" s="28"/>
      <c r="N28" s="28"/>
      <c r="O28" s="28"/>
      <c r="P28" s="28"/>
      <c r="Q28" s="5"/>
      <c r="R28" s="5"/>
      <c r="S28" s="5"/>
      <c r="T28" s="5"/>
      <c r="U28" s="5"/>
      <c r="V28" s="5"/>
      <c r="W28" s="28"/>
      <c r="X28" s="28"/>
      <c r="Y28" s="28"/>
      <c r="Z28" s="5"/>
      <c r="AA28" s="5"/>
      <c r="AB28" s="28"/>
      <c r="AC28" s="28"/>
      <c r="AD28" s="11"/>
      <c r="AE28" s="5"/>
      <c r="AF28" s="5"/>
      <c r="AG28" s="5"/>
      <c r="AH28" s="5"/>
      <c r="AI28" s="5"/>
      <c r="AJ28" s="5"/>
      <c r="AK28" s="5"/>
      <c r="AL28" s="5"/>
      <c r="AM28" s="5"/>
      <c r="AN28" s="17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28"/>
      <c r="BA28" s="5"/>
      <c r="BB28" s="5"/>
      <c r="BC28" s="5"/>
      <c r="BD28" s="5"/>
      <c r="BE28" s="5"/>
      <c r="BF28" s="28"/>
      <c r="BG28" s="28"/>
      <c r="BH28" s="5"/>
      <c r="BI28" s="5"/>
      <c r="BJ28" s="5">
        <f t="shared" si="2"/>
        <v>0</v>
      </c>
      <c r="BK28" s="42" t="s">
        <v>22</v>
      </c>
      <c r="BL28" s="42"/>
      <c r="BM28" s="13"/>
    </row>
    <row r="29" spans="1:65" s="8" customFormat="1" ht="11.25" hidden="1">
      <c r="A29" s="44"/>
      <c r="B29" s="8" t="s">
        <v>103</v>
      </c>
      <c r="C29" s="8" t="s">
        <v>104</v>
      </c>
      <c r="D29" s="21" t="s">
        <v>22</v>
      </c>
      <c r="E29" s="28"/>
      <c r="F29" s="28"/>
      <c r="G29" s="5"/>
      <c r="H29" s="34"/>
      <c r="I29" s="28"/>
      <c r="J29" s="28"/>
      <c r="K29" s="28"/>
      <c r="L29" s="28"/>
      <c r="M29" s="28"/>
      <c r="N29" s="28"/>
      <c r="O29" s="28"/>
      <c r="P29" s="28"/>
      <c r="Q29" s="5"/>
      <c r="R29" s="5"/>
      <c r="S29" s="5"/>
      <c r="T29" s="5"/>
      <c r="U29" s="5"/>
      <c r="V29" s="5"/>
      <c r="W29" s="28"/>
      <c r="X29" s="28"/>
      <c r="Y29" s="28"/>
      <c r="Z29" s="5"/>
      <c r="AA29" s="5"/>
      <c r="AB29" s="28"/>
      <c r="AC29" s="28"/>
      <c r="AD29" s="11"/>
      <c r="AE29" s="5"/>
      <c r="AF29" s="5"/>
      <c r="AG29" s="5"/>
      <c r="AH29" s="5"/>
      <c r="AI29" s="5"/>
      <c r="AJ29" s="5"/>
      <c r="AK29" s="5"/>
      <c r="AL29" s="5"/>
      <c r="AM29" s="5"/>
      <c r="AN29" s="17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28"/>
      <c r="BA29" s="5"/>
      <c r="BB29" s="5"/>
      <c r="BC29" s="5"/>
      <c r="BD29" s="5"/>
      <c r="BE29" s="5"/>
      <c r="BF29" s="28"/>
      <c r="BG29" s="28"/>
      <c r="BH29" s="5"/>
      <c r="BI29" s="5"/>
      <c r="BJ29" s="5">
        <f t="shared" si="2"/>
        <v>0</v>
      </c>
      <c r="BK29" s="42" t="s">
        <v>22</v>
      </c>
      <c r="BL29" s="42"/>
      <c r="BM29" s="13"/>
    </row>
    <row r="30" spans="1:65" s="8" customFormat="1" ht="11.25" hidden="1">
      <c r="A30" s="44"/>
      <c r="B30" s="8" t="s">
        <v>103</v>
      </c>
      <c r="C30" s="8" t="s">
        <v>104</v>
      </c>
      <c r="D30" s="21" t="s">
        <v>22</v>
      </c>
      <c r="E30" s="28"/>
      <c r="F30" s="28"/>
      <c r="G30" s="5"/>
      <c r="H30" s="34"/>
      <c r="I30" s="28"/>
      <c r="J30" s="28"/>
      <c r="K30" s="28"/>
      <c r="L30" s="28"/>
      <c r="M30" s="28"/>
      <c r="N30" s="28"/>
      <c r="O30" s="28"/>
      <c r="P30" s="28"/>
      <c r="Q30" s="5"/>
      <c r="R30" s="5"/>
      <c r="S30" s="5"/>
      <c r="T30" s="5"/>
      <c r="U30" s="5"/>
      <c r="V30" s="5"/>
      <c r="W30" s="28"/>
      <c r="X30" s="28"/>
      <c r="Y30" s="28"/>
      <c r="Z30" s="5"/>
      <c r="AA30" s="5"/>
      <c r="AB30" s="28"/>
      <c r="AC30" s="28"/>
      <c r="AD30" s="11"/>
      <c r="AE30" s="5"/>
      <c r="AF30" s="5"/>
      <c r="AG30" s="5"/>
      <c r="AH30" s="5"/>
      <c r="AI30" s="5"/>
      <c r="AJ30" s="5"/>
      <c r="AK30" s="5"/>
      <c r="AL30" s="5"/>
      <c r="AM30" s="5"/>
      <c r="AN30" s="17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28"/>
      <c r="BA30" s="5"/>
      <c r="BB30" s="5"/>
      <c r="BC30" s="5"/>
      <c r="BD30" s="5"/>
      <c r="BE30" s="5"/>
      <c r="BF30" s="28"/>
      <c r="BG30" s="28"/>
      <c r="BH30" s="5"/>
      <c r="BI30" s="5"/>
      <c r="BJ30" s="5">
        <f t="shared" si="2"/>
        <v>0</v>
      </c>
      <c r="BK30" s="42" t="s">
        <v>22</v>
      </c>
      <c r="BL30" s="42"/>
      <c r="BM30" s="13"/>
    </row>
    <row r="31" spans="1:65" s="8" customFormat="1" ht="11.25" hidden="1">
      <c r="A31" s="44"/>
      <c r="B31" s="8" t="s">
        <v>103</v>
      </c>
      <c r="C31" s="8" t="s">
        <v>104</v>
      </c>
      <c r="D31" s="21" t="s">
        <v>22</v>
      </c>
      <c r="E31" s="28"/>
      <c r="F31" s="28"/>
      <c r="G31" s="5"/>
      <c r="H31" s="34"/>
      <c r="I31" s="28"/>
      <c r="J31" s="28"/>
      <c r="K31" s="28"/>
      <c r="L31" s="28"/>
      <c r="M31" s="28"/>
      <c r="N31" s="28"/>
      <c r="O31" s="28"/>
      <c r="P31" s="28"/>
      <c r="Q31" s="5"/>
      <c r="R31" s="5"/>
      <c r="S31" s="5"/>
      <c r="T31" s="5"/>
      <c r="U31" s="5"/>
      <c r="V31" s="5"/>
      <c r="W31" s="28"/>
      <c r="X31" s="28"/>
      <c r="Y31" s="28"/>
      <c r="Z31" s="5"/>
      <c r="AA31" s="5"/>
      <c r="AB31" s="28"/>
      <c r="AC31" s="28"/>
      <c r="AD31" s="11"/>
      <c r="AE31" s="5"/>
      <c r="AF31" s="5"/>
      <c r="AG31" s="5"/>
      <c r="AH31" s="5"/>
      <c r="AI31" s="5"/>
      <c r="AJ31" s="5"/>
      <c r="AK31" s="5"/>
      <c r="AL31" s="5"/>
      <c r="AM31" s="5"/>
      <c r="AN31" s="17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28"/>
      <c r="BA31" s="5"/>
      <c r="BB31" s="5"/>
      <c r="BC31" s="5"/>
      <c r="BD31" s="5"/>
      <c r="BE31" s="5"/>
      <c r="BF31" s="28"/>
      <c r="BG31" s="28"/>
      <c r="BH31" s="5"/>
      <c r="BI31" s="5"/>
      <c r="BJ31" s="5">
        <f t="shared" si="2"/>
        <v>0</v>
      </c>
      <c r="BK31" s="42" t="s">
        <v>22</v>
      </c>
      <c r="BL31" s="42"/>
      <c r="BM31" s="13"/>
    </row>
    <row r="32" spans="1:65" s="8" customFormat="1" ht="11.25" hidden="1">
      <c r="A32" s="44"/>
      <c r="B32" s="8" t="s">
        <v>103</v>
      </c>
      <c r="C32" s="8" t="s">
        <v>104</v>
      </c>
      <c r="D32" s="21" t="s">
        <v>22</v>
      </c>
      <c r="E32" s="28"/>
      <c r="F32" s="28"/>
      <c r="G32" s="5"/>
      <c r="H32" s="34"/>
      <c r="I32" s="28"/>
      <c r="J32" s="28"/>
      <c r="K32" s="28"/>
      <c r="L32" s="28"/>
      <c r="M32" s="28"/>
      <c r="N32" s="28"/>
      <c r="O32" s="28"/>
      <c r="P32" s="28"/>
      <c r="Q32" s="5"/>
      <c r="R32" s="5"/>
      <c r="S32" s="5"/>
      <c r="T32" s="5"/>
      <c r="U32" s="5"/>
      <c r="V32" s="5"/>
      <c r="W32" s="28"/>
      <c r="X32" s="28"/>
      <c r="Y32" s="28"/>
      <c r="Z32" s="5"/>
      <c r="AA32" s="5"/>
      <c r="AB32" s="28"/>
      <c r="AC32" s="28"/>
      <c r="AD32" s="11"/>
      <c r="AE32" s="5"/>
      <c r="AF32" s="5"/>
      <c r="AG32" s="5"/>
      <c r="AH32" s="5"/>
      <c r="AI32" s="5"/>
      <c r="AJ32" s="5"/>
      <c r="AK32" s="5"/>
      <c r="AL32" s="5"/>
      <c r="AM32" s="5"/>
      <c r="AN32" s="17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28"/>
      <c r="BA32" s="5"/>
      <c r="BB32" s="5"/>
      <c r="BC32" s="5"/>
      <c r="BD32" s="5"/>
      <c r="BE32" s="5"/>
      <c r="BF32" s="28"/>
      <c r="BG32" s="28"/>
      <c r="BH32" s="5"/>
      <c r="BI32" s="5"/>
      <c r="BJ32" s="5">
        <f t="shared" si="2"/>
        <v>0</v>
      </c>
      <c r="BK32" s="42" t="s">
        <v>22</v>
      </c>
      <c r="BL32" s="42"/>
      <c r="BM32" s="13"/>
    </row>
    <row r="33" spans="1:65" s="8" customFormat="1" ht="11.25" hidden="1">
      <c r="A33" s="44"/>
      <c r="B33" s="8" t="s">
        <v>103</v>
      </c>
      <c r="C33" s="8" t="s">
        <v>104</v>
      </c>
      <c r="D33" s="21" t="s">
        <v>22</v>
      </c>
      <c r="E33" s="28"/>
      <c r="F33" s="28"/>
      <c r="G33" s="5"/>
      <c r="H33" s="34"/>
      <c r="I33" s="28"/>
      <c r="J33" s="28"/>
      <c r="K33" s="28"/>
      <c r="L33" s="28"/>
      <c r="M33" s="28"/>
      <c r="N33" s="28"/>
      <c r="O33" s="28"/>
      <c r="P33" s="28"/>
      <c r="Q33" s="5"/>
      <c r="R33" s="5"/>
      <c r="S33" s="5"/>
      <c r="T33" s="5"/>
      <c r="U33" s="5"/>
      <c r="V33" s="5"/>
      <c r="W33" s="28"/>
      <c r="X33" s="28"/>
      <c r="Y33" s="28"/>
      <c r="Z33" s="5"/>
      <c r="AA33" s="5"/>
      <c r="AB33" s="28"/>
      <c r="AC33" s="28"/>
      <c r="AD33" s="11"/>
      <c r="AE33" s="5"/>
      <c r="AF33" s="5"/>
      <c r="AG33" s="5"/>
      <c r="AH33" s="5"/>
      <c r="AI33" s="5"/>
      <c r="AJ33" s="5"/>
      <c r="AK33" s="5"/>
      <c r="AL33" s="5"/>
      <c r="AM33" s="5"/>
      <c r="AN33" s="17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28"/>
      <c r="BA33" s="5"/>
      <c r="BB33" s="5"/>
      <c r="BC33" s="5"/>
      <c r="BD33" s="5"/>
      <c r="BE33" s="5"/>
      <c r="BF33" s="28"/>
      <c r="BG33" s="28"/>
      <c r="BH33" s="5"/>
      <c r="BI33" s="5"/>
      <c r="BJ33" s="5">
        <f t="shared" si="2"/>
        <v>0</v>
      </c>
      <c r="BK33" s="42" t="s">
        <v>22</v>
      </c>
      <c r="BL33" s="42"/>
      <c r="BM33" s="13"/>
    </row>
    <row r="34" spans="1:65" s="8" customFormat="1" ht="11.25" hidden="1">
      <c r="A34" s="44"/>
      <c r="B34" s="8" t="s">
        <v>103</v>
      </c>
      <c r="C34" s="8" t="s">
        <v>104</v>
      </c>
      <c r="D34" s="21" t="s">
        <v>22</v>
      </c>
      <c r="E34" s="28"/>
      <c r="F34" s="28"/>
      <c r="G34" s="5"/>
      <c r="H34" s="34"/>
      <c r="I34" s="28"/>
      <c r="J34" s="28"/>
      <c r="K34" s="28"/>
      <c r="L34" s="28"/>
      <c r="M34" s="28"/>
      <c r="N34" s="28"/>
      <c r="O34" s="28"/>
      <c r="P34" s="28"/>
      <c r="Q34" s="5"/>
      <c r="R34" s="5"/>
      <c r="S34" s="5"/>
      <c r="T34" s="5"/>
      <c r="U34" s="5"/>
      <c r="V34" s="5"/>
      <c r="W34" s="28"/>
      <c r="X34" s="28"/>
      <c r="Y34" s="28"/>
      <c r="Z34" s="5"/>
      <c r="AA34" s="5"/>
      <c r="AB34" s="28"/>
      <c r="AC34" s="28"/>
      <c r="AD34" s="11"/>
      <c r="AE34" s="5"/>
      <c r="AF34" s="5"/>
      <c r="AG34" s="5"/>
      <c r="AH34" s="5"/>
      <c r="AI34" s="5"/>
      <c r="AJ34" s="5"/>
      <c r="AK34" s="5"/>
      <c r="AL34" s="5"/>
      <c r="AM34" s="5"/>
      <c r="AN34" s="17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28"/>
      <c r="BA34" s="5"/>
      <c r="BB34" s="5"/>
      <c r="BC34" s="5"/>
      <c r="BD34" s="5"/>
      <c r="BE34" s="5"/>
      <c r="BF34" s="28"/>
      <c r="BG34" s="28"/>
      <c r="BH34" s="5"/>
      <c r="BI34" s="5"/>
      <c r="BJ34" s="5">
        <f t="shared" si="2"/>
        <v>0</v>
      </c>
      <c r="BK34" s="42" t="s">
        <v>22</v>
      </c>
      <c r="BL34" s="42"/>
      <c r="BM34" s="13"/>
    </row>
    <row r="35" spans="1:65" s="8" customFormat="1" ht="11.25">
      <c r="A35" s="44" t="s">
        <v>187</v>
      </c>
      <c r="B35" s="8" t="s">
        <v>173</v>
      </c>
      <c r="C35" s="8" t="s">
        <v>160</v>
      </c>
      <c r="D35" s="21" t="s">
        <v>22</v>
      </c>
      <c r="E35" s="28"/>
      <c r="F35" s="28">
        <v>2</v>
      </c>
      <c r="G35" s="5"/>
      <c r="H35" s="34"/>
      <c r="I35" s="28"/>
      <c r="J35" s="28"/>
      <c r="K35" s="28"/>
      <c r="L35" s="28"/>
      <c r="M35" s="28"/>
      <c r="N35" s="28"/>
      <c r="O35" s="28"/>
      <c r="P35" s="28"/>
      <c r="Q35" s="5"/>
      <c r="R35" s="5"/>
      <c r="S35" s="5"/>
      <c r="T35" s="5"/>
      <c r="U35" s="5"/>
      <c r="V35" s="5"/>
      <c r="W35" s="28"/>
      <c r="X35" s="28"/>
      <c r="Y35" s="28"/>
      <c r="Z35" s="5"/>
      <c r="AA35" s="5"/>
      <c r="AB35" s="28"/>
      <c r="AC35" s="28"/>
      <c r="AD35" s="11"/>
      <c r="AE35" s="5"/>
      <c r="AF35" s="5"/>
      <c r="AG35" s="5"/>
      <c r="AH35" s="5"/>
      <c r="AI35" s="5"/>
      <c r="AJ35" s="5"/>
      <c r="AK35" s="5"/>
      <c r="AL35" s="5"/>
      <c r="AM35" s="5"/>
      <c r="AN35" s="17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28"/>
      <c r="BA35" s="5"/>
      <c r="BB35" s="5"/>
      <c r="BC35" s="5"/>
      <c r="BD35" s="5"/>
      <c r="BE35" s="5"/>
      <c r="BF35" s="28"/>
      <c r="BG35" s="28"/>
      <c r="BH35" s="5"/>
      <c r="BI35" s="5"/>
      <c r="BJ35" s="5">
        <f t="shared" si="2"/>
        <v>2</v>
      </c>
      <c r="BK35" s="42" t="s">
        <v>22</v>
      </c>
      <c r="BL35" s="42"/>
      <c r="BM35" s="13"/>
    </row>
    <row r="36" spans="1:65" s="9" customFormat="1" ht="11.25">
      <c r="A36" s="43" t="s">
        <v>188</v>
      </c>
      <c r="B36" s="9" t="str">
        <f aca="true" t="shared" si="3" ref="B36:B47">"BÉLYEGZŐPÁRNA FESTÉK"</f>
        <v>BÉLYEGZŐPÁRNA FESTÉK</v>
      </c>
      <c r="C36" s="9" t="s">
        <v>12</v>
      </c>
      <c r="D36" s="21" t="s">
        <v>22</v>
      </c>
      <c r="E36" s="27"/>
      <c r="F36" s="27">
        <v>2</v>
      </c>
      <c r="G36" s="4"/>
      <c r="H36" s="34"/>
      <c r="I36" s="27"/>
      <c r="J36" s="27">
        <v>1</v>
      </c>
      <c r="K36" s="27"/>
      <c r="L36" s="27"/>
      <c r="M36" s="27"/>
      <c r="N36" s="27"/>
      <c r="O36" s="27"/>
      <c r="P36" s="27"/>
      <c r="Q36" s="4"/>
      <c r="R36" s="4"/>
      <c r="S36" s="4"/>
      <c r="T36" s="4"/>
      <c r="U36" s="4"/>
      <c r="V36" s="4"/>
      <c r="W36" s="27"/>
      <c r="X36" s="27"/>
      <c r="Y36" s="27"/>
      <c r="Z36" s="4"/>
      <c r="AA36" s="4"/>
      <c r="AB36" s="27"/>
      <c r="AC36" s="27"/>
      <c r="AD36" s="10"/>
      <c r="AE36" s="4"/>
      <c r="AF36" s="4"/>
      <c r="AG36" s="4"/>
      <c r="AH36" s="4"/>
      <c r="AI36" s="4"/>
      <c r="AJ36" s="4"/>
      <c r="AK36" s="4"/>
      <c r="AL36" s="4"/>
      <c r="AM36" s="4"/>
      <c r="AN36" s="17"/>
      <c r="AO36" s="4"/>
      <c r="AP36" s="4"/>
      <c r="AQ36" s="4"/>
      <c r="AR36" s="4"/>
      <c r="AS36" s="4"/>
      <c r="AT36" s="4"/>
      <c r="AU36" s="4"/>
      <c r="AV36" s="4"/>
      <c r="AW36" s="4">
        <v>1</v>
      </c>
      <c r="AX36" s="4"/>
      <c r="AY36" s="4"/>
      <c r="AZ36" s="27"/>
      <c r="BA36" s="4"/>
      <c r="BB36" s="4"/>
      <c r="BC36" s="4"/>
      <c r="BD36" s="4"/>
      <c r="BE36" s="4"/>
      <c r="BF36" s="27"/>
      <c r="BG36" s="27"/>
      <c r="BH36" s="4"/>
      <c r="BI36" s="4"/>
      <c r="BJ36" s="5">
        <f t="shared" si="2"/>
        <v>4</v>
      </c>
      <c r="BK36" s="42" t="s">
        <v>22</v>
      </c>
      <c r="BL36" s="42"/>
      <c r="BM36" s="51"/>
    </row>
    <row r="37" spans="1:65" s="8" customFormat="1" ht="11.25" hidden="1">
      <c r="A37" s="44"/>
      <c r="B37" s="9" t="str">
        <f t="shared" si="3"/>
        <v>BÉLYEGZŐPÁRNA FESTÉK</v>
      </c>
      <c r="C37" s="9" t="s">
        <v>12</v>
      </c>
      <c r="D37" s="21" t="s">
        <v>22</v>
      </c>
      <c r="E37" s="28"/>
      <c r="F37" s="28"/>
      <c r="G37" s="5"/>
      <c r="H37" s="34"/>
      <c r="I37" s="28"/>
      <c r="J37" s="28"/>
      <c r="K37" s="28"/>
      <c r="L37" s="28"/>
      <c r="M37" s="28"/>
      <c r="N37" s="28"/>
      <c r="O37" s="28"/>
      <c r="P37" s="28"/>
      <c r="Q37" s="5"/>
      <c r="R37" s="5"/>
      <c r="S37" s="5"/>
      <c r="T37" s="5"/>
      <c r="U37" s="5"/>
      <c r="V37" s="5"/>
      <c r="W37" s="28"/>
      <c r="X37" s="28"/>
      <c r="Y37" s="28"/>
      <c r="Z37" s="5"/>
      <c r="AA37" s="5"/>
      <c r="AB37" s="28"/>
      <c r="AC37" s="28"/>
      <c r="AD37" s="11"/>
      <c r="AE37" s="5"/>
      <c r="AF37" s="5"/>
      <c r="AG37" s="5"/>
      <c r="AH37" s="5"/>
      <c r="AI37" s="5"/>
      <c r="AJ37" s="5"/>
      <c r="AK37" s="5"/>
      <c r="AL37" s="5"/>
      <c r="AM37" s="5"/>
      <c r="AN37" s="17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28"/>
      <c r="BA37" s="5"/>
      <c r="BB37" s="5"/>
      <c r="BC37" s="5"/>
      <c r="BD37" s="5"/>
      <c r="BE37" s="5"/>
      <c r="BF37" s="28"/>
      <c r="BG37" s="28"/>
      <c r="BH37" s="5"/>
      <c r="BI37" s="5"/>
      <c r="BJ37" s="5">
        <f t="shared" si="2"/>
        <v>0</v>
      </c>
      <c r="BK37" s="42" t="s">
        <v>22</v>
      </c>
      <c r="BL37" s="42"/>
      <c r="BM37" s="13"/>
    </row>
    <row r="38" spans="1:65" s="8" customFormat="1" ht="11.25" hidden="1">
      <c r="A38" s="44"/>
      <c r="B38" s="9" t="str">
        <f t="shared" si="3"/>
        <v>BÉLYEGZŐPÁRNA FESTÉK</v>
      </c>
      <c r="C38" s="9" t="s">
        <v>12</v>
      </c>
      <c r="D38" s="21" t="s">
        <v>22</v>
      </c>
      <c r="E38" s="28"/>
      <c r="F38" s="28"/>
      <c r="G38" s="5"/>
      <c r="H38" s="34"/>
      <c r="I38" s="28"/>
      <c r="J38" s="28"/>
      <c r="K38" s="28"/>
      <c r="L38" s="28"/>
      <c r="M38" s="28"/>
      <c r="N38" s="28"/>
      <c r="O38" s="28"/>
      <c r="P38" s="28"/>
      <c r="Q38" s="5"/>
      <c r="R38" s="5"/>
      <c r="S38" s="5"/>
      <c r="T38" s="5"/>
      <c r="U38" s="5"/>
      <c r="V38" s="5"/>
      <c r="W38" s="28"/>
      <c r="X38" s="28"/>
      <c r="Y38" s="28"/>
      <c r="Z38" s="5"/>
      <c r="AA38" s="5"/>
      <c r="AB38" s="28"/>
      <c r="AC38" s="28"/>
      <c r="AD38" s="11"/>
      <c r="AE38" s="5"/>
      <c r="AF38" s="5"/>
      <c r="AG38" s="5"/>
      <c r="AH38" s="5"/>
      <c r="AI38" s="5"/>
      <c r="AJ38" s="5"/>
      <c r="AK38" s="5"/>
      <c r="AL38" s="5"/>
      <c r="AM38" s="5"/>
      <c r="AN38" s="17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28"/>
      <c r="BA38" s="5"/>
      <c r="BB38" s="5"/>
      <c r="BC38" s="5"/>
      <c r="BD38" s="5"/>
      <c r="BE38" s="5"/>
      <c r="BF38" s="28"/>
      <c r="BG38" s="28"/>
      <c r="BH38" s="5"/>
      <c r="BI38" s="5"/>
      <c r="BJ38" s="5">
        <f t="shared" si="2"/>
        <v>0</v>
      </c>
      <c r="BK38" s="42" t="s">
        <v>22</v>
      </c>
      <c r="BL38" s="42"/>
      <c r="BM38" s="13"/>
    </row>
    <row r="39" spans="1:65" s="8" customFormat="1" ht="11.25" hidden="1">
      <c r="A39" s="44"/>
      <c r="B39" s="9" t="str">
        <f t="shared" si="3"/>
        <v>BÉLYEGZŐPÁRNA FESTÉK</v>
      </c>
      <c r="C39" s="9" t="s">
        <v>12</v>
      </c>
      <c r="D39" s="21" t="s">
        <v>22</v>
      </c>
      <c r="E39" s="28"/>
      <c r="F39" s="28"/>
      <c r="G39" s="5"/>
      <c r="H39" s="34"/>
      <c r="I39" s="28"/>
      <c r="J39" s="28"/>
      <c r="K39" s="28"/>
      <c r="L39" s="28"/>
      <c r="M39" s="28"/>
      <c r="N39" s="28"/>
      <c r="O39" s="28"/>
      <c r="P39" s="28"/>
      <c r="Q39" s="5"/>
      <c r="R39" s="5"/>
      <c r="S39" s="5"/>
      <c r="T39" s="5"/>
      <c r="U39" s="5"/>
      <c r="V39" s="5"/>
      <c r="W39" s="28"/>
      <c r="X39" s="28"/>
      <c r="Y39" s="28"/>
      <c r="Z39" s="5"/>
      <c r="AA39" s="5"/>
      <c r="AB39" s="28"/>
      <c r="AC39" s="28"/>
      <c r="AD39" s="11"/>
      <c r="AE39" s="5"/>
      <c r="AF39" s="5"/>
      <c r="AG39" s="5"/>
      <c r="AH39" s="5"/>
      <c r="AI39" s="5"/>
      <c r="AJ39" s="5"/>
      <c r="AK39" s="5"/>
      <c r="AL39" s="5"/>
      <c r="AM39" s="5"/>
      <c r="AN39" s="17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28"/>
      <c r="BA39" s="5"/>
      <c r="BB39" s="5"/>
      <c r="BC39" s="5"/>
      <c r="BD39" s="5"/>
      <c r="BE39" s="5"/>
      <c r="BF39" s="28"/>
      <c r="BG39" s="28"/>
      <c r="BH39" s="5"/>
      <c r="BI39" s="5"/>
      <c r="BJ39" s="5">
        <f t="shared" si="2"/>
        <v>0</v>
      </c>
      <c r="BK39" s="42" t="s">
        <v>22</v>
      </c>
      <c r="BL39" s="42"/>
      <c r="BM39" s="13"/>
    </row>
    <row r="40" spans="1:65" s="8" customFormat="1" ht="11.25" hidden="1">
      <c r="A40" s="44"/>
      <c r="B40" s="9" t="str">
        <f t="shared" si="3"/>
        <v>BÉLYEGZŐPÁRNA FESTÉK</v>
      </c>
      <c r="C40" s="9" t="s">
        <v>12</v>
      </c>
      <c r="D40" s="21" t="s">
        <v>22</v>
      </c>
      <c r="E40" s="28"/>
      <c r="F40" s="28"/>
      <c r="G40" s="5"/>
      <c r="H40" s="34"/>
      <c r="I40" s="28"/>
      <c r="J40" s="28"/>
      <c r="K40" s="28"/>
      <c r="L40" s="28"/>
      <c r="M40" s="28"/>
      <c r="N40" s="28"/>
      <c r="O40" s="28"/>
      <c r="P40" s="28"/>
      <c r="Q40" s="5"/>
      <c r="R40" s="5"/>
      <c r="S40" s="5"/>
      <c r="T40" s="5"/>
      <c r="U40" s="5"/>
      <c r="V40" s="5"/>
      <c r="W40" s="28"/>
      <c r="X40" s="28"/>
      <c r="Y40" s="28"/>
      <c r="Z40" s="5"/>
      <c r="AA40" s="5"/>
      <c r="AB40" s="28"/>
      <c r="AC40" s="28"/>
      <c r="AD40" s="11"/>
      <c r="AE40" s="5"/>
      <c r="AF40" s="5"/>
      <c r="AG40" s="5"/>
      <c r="AH40" s="5"/>
      <c r="AI40" s="5"/>
      <c r="AJ40" s="5"/>
      <c r="AK40" s="5"/>
      <c r="AL40" s="5"/>
      <c r="AM40" s="5"/>
      <c r="AN40" s="17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28"/>
      <c r="BA40" s="5"/>
      <c r="BB40" s="5"/>
      <c r="BC40" s="5"/>
      <c r="BD40" s="5"/>
      <c r="BE40" s="5"/>
      <c r="BF40" s="28"/>
      <c r="BG40" s="28"/>
      <c r="BH40" s="5"/>
      <c r="BI40" s="5"/>
      <c r="BJ40" s="5">
        <f t="shared" si="2"/>
        <v>0</v>
      </c>
      <c r="BK40" s="42" t="s">
        <v>22</v>
      </c>
      <c r="BL40" s="42"/>
      <c r="BM40" s="13"/>
    </row>
    <row r="41" spans="1:65" s="8" customFormat="1" ht="11.25" hidden="1">
      <c r="A41" s="44"/>
      <c r="B41" s="9" t="str">
        <f t="shared" si="3"/>
        <v>BÉLYEGZŐPÁRNA FESTÉK</v>
      </c>
      <c r="C41" s="9" t="s">
        <v>12</v>
      </c>
      <c r="D41" s="21" t="s">
        <v>22</v>
      </c>
      <c r="E41" s="28"/>
      <c r="F41" s="28"/>
      <c r="G41" s="5"/>
      <c r="H41" s="34"/>
      <c r="I41" s="28"/>
      <c r="J41" s="28"/>
      <c r="K41" s="28"/>
      <c r="L41" s="28"/>
      <c r="M41" s="28"/>
      <c r="N41" s="28"/>
      <c r="O41" s="28"/>
      <c r="P41" s="28"/>
      <c r="Q41" s="5"/>
      <c r="R41" s="5"/>
      <c r="S41" s="5"/>
      <c r="T41" s="5"/>
      <c r="U41" s="5"/>
      <c r="V41" s="5"/>
      <c r="W41" s="28"/>
      <c r="X41" s="28"/>
      <c r="Y41" s="28"/>
      <c r="Z41" s="5"/>
      <c r="AA41" s="5"/>
      <c r="AB41" s="28"/>
      <c r="AC41" s="28"/>
      <c r="AD41" s="11"/>
      <c r="AE41" s="5"/>
      <c r="AF41" s="5"/>
      <c r="AG41" s="5"/>
      <c r="AH41" s="5"/>
      <c r="AI41" s="5"/>
      <c r="AJ41" s="5"/>
      <c r="AK41" s="5"/>
      <c r="AL41" s="5"/>
      <c r="AM41" s="5"/>
      <c r="AN41" s="17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28"/>
      <c r="BA41" s="5"/>
      <c r="BB41" s="5"/>
      <c r="BC41" s="5"/>
      <c r="BD41" s="5"/>
      <c r="BE41" s="5"/>
      <c r="BF41" s="28"/>
      <c r="BG41" s="28"/>
      <c r="BH41" s="5"/>
      <c r="BI41" s="5"/>
      <c r="BJ41" s="5">
        <f t="shared" si="2"/>
        <v>0</v>
      </c>
      <c r="BK41" s="42" t="s">
        <v>22</v>
      </c>
      <c r="BL41" s="42"/>
      <c r="BM41" s="13"/>
    </row>
    <row r="42" spans="1:65" s="8" customFormat="1" ht="11.25" hidden="1">
      <c r="A42" s="44"/>
      <c r="B42" s="9" t="str">
        <f t="shared" si="3"/>
        <v>BÉLYEGZŐPÁRNA FESTÉK</v>
      </c>
      <c r="C42" s="9" t="s">
        <v>12</v>
      </c>
      <c r="D42" s="21" t="s">
        <v>22</v>
      </c>
      <c r="E42" s="28"/>
      <c r="F42" s="28"/>
      <c r="G42" s="5"/>
      <c r="H42" s="34"/>
      <c r="I42" s="28"/>
      <c r="J42" s="28"/>
      <c r="K42" s="28"/>
      <c r="L42" s="28"/>
      <c r="M42" s="28"/>
      <c r="N42" s="28"/>
      <c r="O42" s="28"/>
      <c r="P42" s="28"/>
      <c r="Q42" s="5"/>
      <c r="R42" s="5"/>
      <c r="S42" s="5"/>
      <c r="T42" s="5"/>
      <c r="U42" s="5"/>
      <c r="V42" s="5"/>
      <c r="W42" s="28"/>
      <c r="X42" s="28"/>
      <c r="Y42" s="28"/>
      <c r="Z42" s="5"/>
      <c r="AA42" s="5"/>
      <c r="AB42" s="28"/>
      <c r="AC42" s="28"/>
      <c r="AD42" s="11"/>
      <c r="AE42" s="5"/>
      <c r="AF42" s="5"/>
      <c r="AG42" s="5"/>
      <c r="AH42" s="5"/>
      <c r="AI42" s="5"/>
      <c r="AJ42" s="5"/>
      <c r="AK42" s="5"/>
      <c r="AL42" s="5"/>
      <c r="AM42" s="5"/>
      <c r="AN42" s="17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28"/>
      <c r="BA42" s="5"/>
      <c r="BB42" s="5"/>
      <c r="BC42" s="5"/>
      <c r="BD42" s="5"/>
      <c r="BE42" s="5"/>
      <c r="BF42" s="28"/>
      <c r="BG42" s="28"/>
      <c r="BH42" s="5"/>
      <c r="BI42" s="5"/>
      <c r="BJ42" s="5">
        <f t="shared" si="2"/>
        <v>0</v>
      </c>
      <c r="BK42" s="42" t="s">
        <v>22</v>
      </c>
      <c r="BL42" s="42"/>
      <c r="BM42" s="13"/>
    </row>
    <row r="43" spans="1:65" s="8" customFormat="1" ht="11.25" hidden="1">
      <c r="A43" s="44"/>
      <c r="B43" s="9" t="str">
        <f t="shared" si="3"/>
        <v>BÉLYEGZŐPÁRNA FESTÉK</v>
      </c>
      <c r="C43" s="9" t="s">
        <v>12</v>
      </c>
      <c r="D43" s="21" t="s">
        <v>22</v>
      </c>
      <c r="E43" s="28"/>
      <c r="F43" s="28"/>
      <c r="G43" s="5"/>
      <c r="H43" s="34"/>
      <c r="I43" s="28"/>
      <c r="J43" s="28"/>
      <c r="K43" s="28"/>
      <c r="L43" s="28"/>
      <c r="M43" s="28"/>
      <c r="N43" s="28"/>
      <c r="O43" s="28"/>
      <c r="P43" s="28"/>
      <c r="Q43" s="5"/>
      <c r="R43" s="5"/>
      <c r="S43" s="5"/>
      <c r="T43" s="5"/>
      <c r="U43" s="5"/>
      <c r="V43" s="5"/>
      <c r="W43" s="28"/>
      <c r="X43" s="28"/>
      <c r="Y43" s="28"/>
      <c r="Z43" s="5"/>
      <c r="AA43" s="5"/>
      <c r="AB43" s="28"/>
      <c r="AC43" s="28"/>
      <c r="AD43" s="11"/>
      <c r="AE43" s="5"/>
      <c r="AF43" s="5"/>
      <c r="AG43" s="5"/>
      <c r="AH43" s="5"/>
      <c r="AI43" s="5"/>
      <c r="AJ43" s="5"/>
      <c r="AK43" s="5"/>
      <c r="AL43" s="5"/>
      <c r="AM43" s="5"/>
      <c r="AN43" s="17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28"/>
      <c r="BA43" s="5"/>
      <c r="BB43" s="5"/>
      <c r="BC43" s="5"/>
      <c r="BD43" s="5"/>
      <c r="BE43" s="5"/>
      <c r="BF43" s="28"/>
      <c r="BG43" s="28"/>
      <c r="BH43" s="5"/>
      <c r="BI43" s="5"/>
      <c r="BJ43" s="5">
        <f t="shared" si="2"/>
        <v>0</v>
      </c>
      <c r="BK43" s="42" t="s">
        <v>22</v>
      </c>
      <c r="BL43" s="42"/>
      <c r="BM43" s="13"/>
    </row>
    <row r="44" spans="1:65" s="8" customFormat="1" ht="11.25" hidden="1">
      <c r="A44" s="44"/>
      <c r="B44" s="9" t="str">
        <f t="shared" si="3"/>
        <v>BÉLYEGZŐPÁRNA FESTÉK</v>
      </c>
      <c r="C44" s="9" t="s">
        <v>12</v>
      </c>
      <c r="D44" s="21" t="s">
        <v>22</v>
      </c>
      <c r="E44" s="28"/>
      <c r="F44" s="28"/>
      <c r="G44" s="5"/>
      <c r="H44" s="34"/>
      <c r="I44" s="28"/>
      <c r="J44" s="28"/>
      <c r="K44" s="28"/>
      <c r="L44" s="28"/>
      <c r="M44" s="28"/>
      <c r="N44" s="28"/>
      <c r="O44" s="28"/>
      <c r="P44" s="28"/>
      <c r="Q44" s="5"/>
      <c r="R44" s="5"/>
      <c r="S44" s="5"/>
      <c r="T44" s="5"/>
      <c r="U44" s="5"/>
      <c r="V44" s="5"/>
      <c r="W44" s="28"/>
      <c r="X44" s="28"/>
      <c r="Y44" s="28"/>
      <c r="Z44" s="5"/>
      <c r="AA44" s="5"/>
      <c r="AB44" s="28"/>
      <c r="AC44" s="28"/>
      <c r="AD44" s="11"/>
      <c r="AE44" s="5"/>
      <c r="AF44" s="5"/>
      <c r="AG44" s="5"/>
      <c r="AH44" s="5"/>
      <c r="AI44" s="5"/>
      <c r="AJ44" s="5"/>
      <c r="AK44" s="5"/>
      <c r="AL44" s="5"/>
      <c r="AM44" s="5"/>
      <c r="AN44" s="17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28"/>
      <c r="BA44" s="5"/>
      <c r="BB44" s="5"/>
      <c r="BC44" s="5"/>
      <c r="BD44" s="5"/>
      <c r="BE44" s="5"/>
      <c r="BF44" s="28"/>
      <c r="BG44" s="28"/>
      <c r="BH44" s="5"/>
      <c r="BI44" s="5"/>
      <c r="BJ44" s="5">
        <f t="shared" si="2"/>
        <v>0</v>
      </c>
      <c r="BK44" s="42" t="s">
        <v>22</v>
      </c>
      <c r="BL44" s="42"/>
      <c r="BM44" s="13"/>
    </row>
    <row r="45" spans="1:67" s="8" customFormat="1" ht="11.25" hidden="1">
      <c r="A45" s="44"/>
      <c r="B45" s="9" t="str">
        <f t="shared" si="3"/>
        <v>BÉLYEGZŐPÁRNA FESTÉK</v>
      </c>
      <c r="C45" s="9" t="s">
        <v>12</v>
      </c>
      <c r="D45" s="21" t="s">
        <v>22</v>
      </c>
      <c r="E45" s="28"/>
      <c r="F45" s="28"/>
      <c r="G45" s="5"/>
      <c r="H45" s="34"/>
      <c r="I45" s="28"/>
      <c r="J45" s="28"/>
      <c r="K45" s="28"/>
      <c r="L45" s="28"/>
      <c r="M45" s="28"/>
      <c r="N45" s="28"/>
      <c r="O45" s="28"/>
      <c r="P45" s="28"/>
      <c r="Q45" s="5"/>
      <c r="R45" s="5"/>
      <c r="S45" s="5"/>
      <c r="T45" s="5"/>
      <c r="U45" s="5"/>
      <c r="V45" s="5"/>
      <c r="W45" s="28"/>
      <c r="X45" s="28"/>
      <c r="Y45" s="28"/>
      <c r="Z45" s="5"/>
      <c r="AA45" s="5"/>
      <c r="AB45" s="28"/>
      <c r="AC45" s="28"/>
      <c r="AD45" s="11"/>
      <c r="AE45" s="5"/>
      <c r="AF45" s="5"/>
      <c r="AG45" s="5"/>
      <c r="AH45" s="5"/>
      <c r="AI45" s="5"/>
      <c r="AJ45" s="5"/>
      <c r="AK45" s="5"/>
      <c r="AL45" s="5"/>
      <c r="AM45" s="5"/>
      <c r="AN45" s="17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28"/>
      <c r="BA45" s="5"/>
      <c r="BB45" s="5"/>
      <c r="BC45" s="5"/>
      <c r="BD45" s="5"/>
      <c r="BE45" s="5"/>
      <c r="BF45" s="28"/>
      <c r="BG45" s="28"/>
      <c r="BH45" s="5"/>
      <c r="BI45" s="5"/>
      <c r="BJ45" s="5">
        <f t="shared" si="2"/>
        <v>0</v>
      </c>
      <c r="BK45" s="42" t="s">
        <v>22</v>
      </c>
      <c r="BL45" s="42"/>
      <c r="BM45" s="13"/>
      <c r="BO45" s="9"/>
    </row>
    <row r="46" spans="1:65" s="9" customFormat="1" ht="11.25" hidden="1">
      <c r="A46" s="43"/>
      <c r="B46" s="9" t="str">
        <f t="shared" si="3"/>
        <v>BÉLYEGZŐPÁRNA FESTÉK</v>
      </c>
      <c r="C46" s="9" t="s">
        <v>12</v>
      </c>
      <c r="D46" s="21" t="s">
        <v>22</v>
      </c>
      <c r="E46" s="27"/>
      <c r="F46" s="27"/>
      <c r="G46" s="4"/>
      <c r="H46" s="34"/>
      <c r="I46" s="27"/>
      <c r="J46" s="27"/>
      <c r="K46" s="27"/>
      <c r="L46" s="27"/>
      <c r="M46" s="27"/>
      <c r="N46" s="27"/>
      <c r="O46" s="27"/>
      <c r="P46" s="27"/>
      <c r="Q46" s="4"/>
      <c r="R46" s="4"/>
      <c r="S46" s="4"/>
      <c r="T46" s="4"/>
      <c r="U46" s="4"/>
      <c r="V46" s="4"/>
      <c r="W46" s="27"/>
      <c r="X46" s="27"/>
      <c r="Y46" s="27"/>
      <c r="Z46" s="4"/>
      <c r="AA46" s="4"/>
      <c r="AB46" s="27"/>
      <c r="AC46" s="27"/>
      <c r="AD46" s="10"/>
      <c r="AE46" s="4"/>
      <c r="AF46" s="4"/>
      <c r="AG46" s="4"/>
      <c r="AH46" s="4"/>
      <c r="AI46" s="4"/>
      <c r="AJ46" s="4"/>
      <c r="AK46" s="4"/>
      <c r="AL46" s="4"/>
      <c r="AM46" s="4"/>
      <c r="AN46" s="17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27"/>
      <c r="BA46" s="4"/>
      <c r="BB46" s="4"/>
      <c r="BC46" s="4"/>
      <c r="BD46" s="4"/>
      <c r="BE46" s="4"/>
      <c r="BF46" s="27"/>
      <c r="BG46" s="27"/>
      <c r="BH46" s="4"/>
      <c r="BI46" s="4"/>
      <c r="BJ46" s="5">
        <f t="shared" si="2"/>
        <v>0</v>
      </c>
      <c r="BK46" s="42" t="s">
        <v>22</v>
      </c>
      <c r="BL46" s="42"/>
      <c r="BM46" s="51"/>
    </row>
    <row r="47" spans="1:65" s="9" customFormat="1" ht="11.25" hidden="1">
      <c r="A47" s="43"/>
      <c r="B47" s="9" t="str">
        <f t="shared" si="3"/>
        <v>BÉLYEGZŐPÁRNA FESTÉK</v>
      </c>
      <c r="C47" s="9" t="s">
        <v>12</v>
      </c>
      <c r="D47" s="21" t="s">
        <v>22</v>
      </c>
      <c r="E47" s="27"/>
      <c r="F47" s="27"/>
      <c r="G47" s="4"/>
      <c r="H47" s="34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4"/>
      <c r="T47" s="4"/>
      <c r="U47" s="4"/>
      <c r="V47" s="4"/>
      <c r="W47" s="27"/>
      <c r="X47" s="27"/>
      <c r="Y47" s="27"/>
      <c r="Z47" s="4"/>
      <c r="AA47" s="4"/>
      <c r="AB47" s="27"/>
      <c r="AC47" s="27"/>
      <c r="AD47" s="10"/>
      <c r="AE47" s="4"/>
      <c r="AF47" s="4"/>
      <c r="AG47" s="4"/>
      <c r="AH47" s="4"/>
      <c r="AI47" s="4"/>
      <c r="AJ47" s="4"/>
      <c r="AK47" s="4"/>
      <c r="AL47" s="4"/>
      <c r="AM47" s="4"/>
      <c r="AN47" s="17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27"/>
      <c r="BA47" s="4"/>
      <c r="BB47" s="4"/>
      <c r="BC47" s="4"/>
      <c r="BD47" s="4"/>
      <c r="BE47" s="4"/>
      <c r="BF47" s="27"/>
      <c r="BG47" s="27"/>
      <c r="BH47" s="4"/>
      <c r="BI47" s="4"/>
      <c r="BJ47" s="5">
        <f t="shared" si="2"/>
        <v>0</v>
      </c>
      <c r="BK47" s="42" t="s">
        <v>22</v>
      </c>
      <c r="BL47" s="42"/>
      <c r="BM47" s="51"/>
    </row>
    <row r="48" spans="1:65" s="8" customFormat="1" ht="11.25">
      <c r="A48" s="44" t="s">
        <v>189</v>
      </c>
      <c r="B48" s="9" t="str">
        <f>"BINDER CSIPESZ (CLIPS)"</f>
        <v>BINDER CSIPESZ (CLIPS)</v>
      </c>
      <c r="C48" s="9" t="s">
        <v>78</v>
      </c>
      <c r="D48" s="21" t="s">
        <v>30</v>
      </c>
      <c r="E48" s="28">
        <v>1</v>
      </c>
      <c r="F48" s="28"/>
      <c r="G48" s="5">
        <v>1</v>
      </c>
      <c r="H48" s="34"/>
      <c r="I48" s="28"/>
      <c r="J48" s="28">
        <v>5</v>
      </c>
      <c r="K48" s="28"/>
      <c r="L48" s="28"/>
      <c r="M48" s="28"/>
      <c r="N48" s="28"/>
      <c r="O48" s="28"/>
      <c r="P48" s="28"/>
      <c r="Q48" s="5"/>
      <c r="R48" s="5"/>
      <c r="S48" s="5"/>
      <c r="T48" s="5"/>
      <c r="U48" s="5"/>
      <c r="V48" s="5"/>
      <c r="W48" s="28"/>
      <c r="X48" s="28"/>
      <c r="Y48" s="28"/>
      <c r="Z48" s="5"/>
      <c r="AA48" s="5"/>
      <c r="AB48" s="28"/>
      <c r="AC48" s="28"/>
      <c r="AD48" s="11"/>
      <c r="AE48" s="5"/>
      <c r="AF48" s="5"/>
      <c r="AG48" s="5"/>
      <c r="AH48" s="5"/>
      <c r="AI48" s="5"/>
      <c r="AJ48" s="5"/>
      <c r="AK48" s="5"/>
      <c r="AL48" s="5"/>
      <c r="AM48" s="5"/>
      <c r="AN48" s="17"/>
      <c r="AO48" s="5"/>
      <c r="AP48" s="5"/>
      <c r="AQ48" s="5"/>
      <c r="AR48" s="5"/>
      <c r="AS48" s="5"/>
      <c r="AT48" s="5"/>
      <c r="AU48" s="5">
        <v>2</v>
      </c>
      <c r="AV48" s="5"/>
      <c r="AW48" s="5"/>
      <c r="AX48" s="5"/>
      <c r="AY48" s="5"/>
      <c r="AZ48" s="28"/>
      <c r="BA48" s="5"/>
      <c r="BB48" s="5"/>
      <c r="BC48" s="5"/>
      <c r="BD48" s="5"/>
      <c r="BE48" s="5"/>
      <c r="BF48" s="28">
        <v>1</v>
      </c>
      <c r="BG48" s="28"/>
      <c r="BH48" s="5"/>
      <c r="BI48" s="5"/>
      <c r="BJ48" s="5">
        <f t="shared" si="2"/>
        <v>10</v>
      </c>
      <c r="BK48" s="42" t="s">
        <v>30</v>
      </c>
      <c r="BL48" s="42"/>
      <c r="BM48" s="13"/>
    </row>
    <row r="49" spans="1:65" s="8" customFormat="1" ht="11.25">
      <c r="A49" s="44" t="s">
        <v>190</v>
      </c>
      <c r="B49" s="9" t="str">
        <f>"BINDER CSIPESZ (CLIPS)"</f>
        <v>BINDER CSIPESZ (CLIPS)</v>
      </c>
      <c r="C49" s="9" t="s">
        <v>77</v>
      </c>
      <c r="D49" s="21" t="s">
        <v>30</v>
      </c>
      <c r="E49" s="28">
        <v>1</v>
      </c>
      <c r="F49" s="28"/>
      <c r="G49" s="5">
        <v>1</v>
      </c>
      <c r="H49" s="34"/>
      <c r="I49" s="28"/>
      <c r="J49" s="28">
        <v>5</v>
      </c>
      <c r="K49" s="28"/>
      <c r="L49" s="28"/>
      <c r="M49" s="28"/>
      <c r="N49" s="28"/>
      <c r="O49" s="28"/>
      <c r="P49" s="28"/>
      <c r="Q49" s="5"/>
      <c r="R49" s="5"/>
      <c r="S49" s="5"/>
      <c r="T49" s="5"/>
      <c r="U49" s="5"/>
      <c r="V49" s="5"/>
      <c r="W49" s="28"/>
      <c r="X49" s="28"/>
      <c r="Y49" s="28"/>
      <c r="Z49" s="5"/>
      <c r="AA49" s="5"/>
      <c r="AB49" s="28"/>
      <c r="AC49" s="28"/>
      <c r="AD49" s="11"/>
      <c r="AE49" s="5"/>
      <c r="AF49" s="5"/>
      <c r="AG49" s="5"/>
      <c r="AH49" s="5"/>
      <c r="AI49" s="5"/>
      <c r="AJ49" s="5"/>
      <c r="AK49" s="5"/>
      <c r="AL49" s="5"/>
      <c r="AM49" s="5"/>
      <c r="AN49" s="17"/>
      <c r="AO49" s="5"/>
      <c r="AP49" s="5"/>
      <c r="AQ49" s="5"/>
      <c r="AR49" s="5"/>
      <c r="AS49" s="5"/>
      <c r="AT49" s="5"/>
      <c r="AU49" s="5"/>
      <c r="AV49" s="5">
        <v>1</v>
      </c>
      <c r="AW49" s="5"/>
      <c r="AX49" s="5"/>
      <c r="AY49" s="5"/>
      <c r="AZ49" s="28"/>
      <c r="BA49" s="5"/>
      <c r="BB49" s="5"/>
      <c r="BC49" s="5"/>
      <c r="BD49" s="5"/>
      <c r="BE49" s="5"/>
      <c r="BF49" s="28"/>
      <c r="BG49" s="28"/>
      <c r="BH49" s="5"/>
      <c r="BI49" s="5"/>
      <c r="BJ49" s="5">
        <f t="shared" si="2"/>
        <v>8</v>
      </c>
      <c r="BK49" s="42" t="s">
        <v>30</v>
      </c>
      <c r="BL49" s="42"/>
      <c r="BM49" s="13"/>
    </row>
    <row r="50" spans="1:65" s="8" customFormat="1" ht="11.25">
      <c r="A50" s="44" t="s">
        <v>191</v>
      </c>
      <c r="B50" s="9" t="str">
        <f>"BINDER CSIPESZ (CLIPS)"</f>
        <v>BINDER CSIPESZ (CLIPS)</v>
      </c>
      <c r="C50" s="9" t="s">
        <v>76</v>
      </c>
      <c r="D50" s="21" t="s">
        <v>30</v>
      </c>
      <c r="E50" s="28">
        <v>1</v>
      </c>
      <c r="F50" s="28"/>
      <c r="G50" s="5">
        <v>1</v>
      </c>
      <c r="H50" s="34"/>
      <c r="I50" s="28"/>
      <c r="J50" s="28"/>
      <c r="K50" s="28"/>
      <c r="L50" s="28"/>
      <c r="M50" s="28"/>
      <c r="N50" s="28"/>
      <c r="O50" s="28"/>
      <c r="P50" s="28"/>
      <c r="Q50" s="5"/>
      <c r="R50" s="5"/>
      <c r="S50" s="5"/>
      <c r="T50" s="5"/>
      <c r="U50" s="5"/>
      <c r="V50" s="5"/>
      <c r="W50" s="28"/>
      <c r="X50" s="28"/>
      <c r="Y50" s="28"/>
      <c r="Z50" s="5">
        <v>1</v>
      </c>
      <c r="AA50" s="5"/>
      <c r="AB50" s="28"/>
      <c r="AC50" s="28"/>
      <c r="AD50" s="11"/>
      <c r="AE50" s="5"/>
      <c r="AF50" s="5"/>
      <c r="AG50" s="5"/>
      <c r="AH50" s="5"/>
      <c r="AI50" s="5"/>
      <c r="AJ50" s="5"/>
      <c r="AK50" s="5"/>
      <c r="AL50" s="5"/>
      <c r="AM50" s="5"/>
      <c r="AN50" s="17"/>
      <c r="AO50" s="5"/>
      <c r="AP50" s="5"/>
      <c r="AQ50" s="5"/>
      <c r="AR50" s="5"/>
      <c r="AS50" s="5">
        <v>1</v>
      </c>
      <c r="AT50" s="5"/>
      <c r="AU50" s="5"/>
      <c r="AV50" s="5">
        <v>1</v>
      </c>
      <c r="AW50" s="5"/>
      <c r="AX50" s="5"/>
      <c r="AY50" s="5"/>
      <c r="AZ50" s="28"/>
      <c r="BA50" s="5"/>
      <c r="BB50" s="5"/>
      <c r="BC50" s="5"/>
      <c r="BD50" s="5"/>
      <c r="BE50" s="5"/>
      <c r="BF50" s="28">
        <v>1</v>
      </c>
      <c r="BG50" s="28"/>
      <c r="BH50" s="5"/>
      <c r="BI50" s="5"/>
      <c r="BJ50" s="5">
        <f t="shared" si="2"/>
        <v>6</v>
      </c>
      <c r="BK50" s="42" t="s">
        <v>30</v>
      </c>
      <c r="BL50" s="42"/>
      <c r="BM50" s="13"/>
    </row>
    <row r="51" spans="1:65" s="8" customFormat="1" ht="11.25">
      <c r="A51" s="44" t="s">
        <v>192</v>
      </c>
      <c r="B51" s="9" t="str">
        <f>"BINDER CSIPESZ (CLIPS)"</f>
        <v>BINDER CSIPESZ (CLIPS)</v>
      </c>
      <c r="C51" s="9" t="s">
        <v>81</v>
      </c>
      <c r="D51" s="21" t="s">
        <v>30</v>
      </c>
      <c r="E51" s="28">
        <v>1</v>
      </c>
      <c r="F51" s="28"/>
      <c r="G51" s="5">
        <v>1</v>
      </c>
      <c r="H51" s="34"/>
      <c r="I51" s="28"/>
      <c r="J51" s="28"/>
      <c r="K51" s="28"/>
      <c r="L51" s="28"/>
      <c r="M51" s="28"/>
      <c r="N51" s="28"/>
      <c r="O51" s="28"/>
      <c r="P51" s="28"/>
      <c r="Q51" s="5"/>
      <c r="R51" s="5"/>
      <c r="S51" s="5"/>
      <c r="T51" s="5"/>
      <c r="U51" s="5"/>
      <c r="V51" s="5"/>
      <c r="W51" s="28"/>
      <c r="X51" s="28"/>
      <c r="Y51" s="28"/>
      <c r="Z51" s="5"/>
      <c r="AA51" s="5"/>
      <c r="AB51" s="28"/>
      <c r="AC51" s="28"/>
      <c r="AD51" s="11"/>
      <c r="AE51" s="5"/>
      <c r="AF51" s="5"/>
      <c r="AG51" s="5"/>
      <c r="AH51" s="5"/>
      <c r="AI51" s="5"/>
      <c r="AJ51" s="5"/>
      <c r="AK51" s="5"/>
      <c r="AL51" s="5"/>
      <c r="AM51" s="5"/>
      <c r="AN51" s="17"/>
      <c r="AO51" s="5"/>
      <c r="AP51" s="5"/>
      <c r="AQ51" s="5"/>
      <c r="AR51" s="5"/>
      <c r="AS51" s="5">
        <v>1</v>
      </c>
      <c r="AT51" s="5"/>
      <c r="AU51" s="5"/>
      <c r="AV51" s="5"/>
      <c r="AW51" s="5"/>
      <c r="AX51" s="5"/>
      <c r="AY51" s="5"/>
      <c r="AZ51" s="28"/>
      <c r="BA51" s="5"/>
      <c r="BB51" s="5"/>
      <c r="BC51" s="5"/>
      <c r="BD51" s="5"/>
      <c r="BE51" s="5"/>
      <c r="BF51" s="28">
        <v>1</v>
      </c>
      <c r="BG51" s="28"/>
      <c r="BH51" s="5"/>
      <c r="BI51" s="5"/>
      <c r="BJ51" s="5">
        <f t="shared" si="2"/>
        <v>4</v>
      </c>
      <c r="BK51" s="42" t="s">
        <v>30</v>
      </c>
      <c r="BL51" s="42"/>
      <c r="BM51" s="13"/>
    </row>
    <row r="52" spans="1:65" s="9" customFormat="1" ht="11.25" hidden="1">
      <c r="A52" s="43"/>
      <c r="B52" s="9" t="s">
        <v>47</v>
      </c>
      <c r="D52" s="17"/>
      <c r="E52" s="27"/>
      <c r="F52" s="27"/>
      <c r="G52" s="4"/>
      <c r="H52" s="34"/>
      <c r="I52" s="27"/>
      <c r="J52" s="27"/>
      <c r="K52" s="27"/>
      <c r="L52" s="27"/>
      <c r="M52" s="27"/>
      <c r="N52" s="27"/>
      <c r="O52" s="27"/>
      <c r="P52" s="27"/>
      <c r="Q52" s="4"/>
      <c r="R52" s="4"/>
      <c r="S52" s="4"/>
      <c r="T52" s="4"/>
      <c r="U52" s="4"/>
      <c r="V52" s="4"/>
      <c r="W52" s="27"/>
      <c r="X52" s="27"/>
      <c r="Y52" s="27"/>
      <c r="Z52" s="4"/>
      <c r="AA52" s="4"/>
      <c r="AB52" s="27"/>
      <c r="AC52" s="27"/>
      <c r="AD52" s="10"/>
      <c r="AE52" s="4"/>
      <c r="AF52" s="4"/>
      <c r="AG52" s="4"/>
      <c r="AH52" s="4"/>
      <c r="AI52" s="4"/>
      <c r="AJ52" s="4"/>
      <c r="AK52" s="4"/>
      <c r="AL52" s="4"/>
      <c r="AM52" s="4"/>
      <c r="AN52" s="17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27"/>
      <c r="BA52" s="4"/>
      <c r="BB52" s="4"/>
      <c r="BC52" s="4"/>
      <c r="BD52" s="4"/>
      <c r="BE52" s="4"/>
      <c r="BF52" s="27"/>
      <c r="BG52" s="27"/>
      <c r="BH52" s="4"/>
      <c r="BI52" s="4"/>
      <c r="BJ52" s="5">
        <f t="shared" si="2"/>
        <v>0</v>
      </c>
      <c r="BK52" s="41"/>
      <c r="BL52" s="41"/>
      <c r="BM52" s="51"/>
    </row>
    <row r="53" spans="1:65" s="9" customFormat="1" ht="11.25" hidden="1">
      <c r="A53" s="43"/>
      <c r="B53" s="9" t="s">
        <v>47</v>
      </c>
      <c r="C53" s="9" t="str">
        <f>"DELI 0620"</f>
        <v>DELI 0620</v>
      </c>
      <c r="D53" s="17"/>
      <c r="E53" s="27"/>
      <c r="F53" s="27"/>
      <c r="G53" s="4"/>
      <c r="H53" s="34"/>
      <c r="I53" s="27"/>
      <c r="J53" s="27"/>
      <c r="K53" s="27"/>
      <c r="L53" s="27"/>
      <c r="M53" s="27"/>
      <c r="N53" s="27"/>
      <c r="O53" s="27"/>
      <c r="P53" s="27"/>
      <c r="Q53" s="4"/>
      <c r="R53" s="4"/>
      <c r="S53" s="4"/>
      <c r="T53" s="4"/>
      <c r="U53" s="4"/>
      <c r="V53" s="4"/>
      <c r="W53" s="27"/>
      <c r="X53" s="27"/>
      <c r="Y53" s="27"/>
      <c r="Z53" s="4"/>
      <c r="AA53" s="4"/>
      <c r="AB53" s="27"/>
      <c r="AC53" s="27"/>
      <c r="AD53" s="10"/>
      <c r="AE53" s="4"/>
      <c r="AF53" s="4"/>
      <c r="AG53" s="4"/>
      <c r="AH53" s="4"/>
      <c r="AI53" s="4"/>
      <c r="AJ53" s="4"/>
      <c r="AK53" s="4"/>
      <c r="AL53" s="4"/>
      <c r="AM53" s="4"/>
      <c r="AN53" s="17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27"/>
      <c r="BA53" s="4"/>
      <c r="BB53" s="4"/>
      <c r="BC53" s="4"/>
      <c r="BD53" s="4"/>
      <c r="BE53" s="4"/>
      <c r="BF53" s="27"/>
      <c r="BG53" s="27"/>
      <c r="BH53" s="4"/>
      <c r="BI53" s="4"/>
      <c r="BJ53" s="5">
        <f t="shared" si="2"/>
        <v>0</v>
      </c>
      <c r="BK53" s="41"/>
      <c r="BL53" s="41"/>
      <c r="BM53" s="51"/>
    </row>
    <row r="54" spans="1:67" s="9" customFormat="1" ht="11.25" hidden="1">
      <c r="A54" s="43"/>
      <c r="B54" s="9" t="s">
        <v>47</v>
      </c>
      <c r="D54" s="17"/>
      <c r="E54" s="27"/>
      <c r="F54" s="27"/>
      <c r="G54" s="4"/>
      <c r="H54" s="34"/>
      <c r="I54" s="27"/>
      <c r="J54" s="27"/>
      <c r="K54" s="27"/>
      <c r="L54" s="27"/>
      <c r="M54" s="27"/>
      <c r="N54" s="27"/>
      <c r="O54" s="27"/>
      <c r="P54" s="27"/>
      <c r="Q54" s="4"/>
      <c r="R54" s="4"/>
      <c r="S54" s="4"/>
      <c r="T54" s="4"/>
      <c r="U54" s="4"/>
      <c r="V54" s="4"/>
      <c r="W54" s="27"/>
      <c r="X54" s="27"/>
      <c r="Y54" s="27"/>
      <c r="Z54" s="4"/>
      <c r="AA54" s="4"/>
      <c r="AB54" s="27"/>
      <c r="AC54" s="27"/>
      <c r="AD54" s="10"/>
      <c r="AE54" s="4"/>
      <c r="AF54" s="4"/>
      <c r="AG54" s="4"/>
      <c r="AH54" s="4"/>
      <c r="AI54" s="4"/>
      <c r="AJ54" s="4"/>
      <c r="AK54" s="4"/>
      <c r="AL54" s="4"/>
      <c r="AM54" s="4"/>
      <c r="AN54" s="17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27"/>
      <c r="BA54" s="4"/>
      <c r="BB54" s="4"/>
      <c r="BC54" s="4"/>
      <c r="BD54" s="4"/>
      <c r="BE54" s="4"/>
      <c r="BF54" s="27"/>
      <c r="BG54" s="27"/>
      <c r="BH54" s="4"/>
      <c r="BI54" s="4"/>
      <c r="BJ54" s="5">
        <f t="shared" si="2"/>
        <v>0</v>
      </c>
      <c r="BK54" s="41"/>
      <c r="BL54" s="41"/>
      <c r="BM54" s="51"/>
      <c r="BO54" s="8"/>
    </row>
    <row r="55" spans="1:65" s="8" customFormat="1" ht="11.25" hidden="1">
      <c r="A55" s="44"/>
      <c r="B55" s="9" t="s">
        <v>47</v>
      </c>
      <c r="C55" s="9" t="str">
        <f>"080X120 CM"</f>
        <v>080X120 CM</v>
      </c>
      <c r="D55" s="21"/>
      <c r="E55" s="28"/>
      <c r="F55" s="28"/>
      <c r="G55" s="5"/>
      <c r="H55" s="34"/>
      <c r="I55" s="28"/>
      <c r="J55" s="28"/>
      <c r="K55" s="28"/>
      <c r="L55" s="28"/>
      <c r="M55" s="28"/>
      <c r="N55" s="28"/>
      <c r="O55" s="28"/>
      <c r="P55" s="28"/>
      <c r="Q55" s="5"/>
      <c r="R55" s="5"/>
      <c r="S55" s="5"/>
      <c r="T55" s="5"/>
      <c r="U55" s="5"/>
      <c r="V55" s="5"/>
      <c r="W55" s="28"/>
      <c r="X55" s="28"/>
      <c r="Y55" s="28"/>
      <c r="Z55" s="5"/>
      <c r="AA55" s="5"/>
      <c r="AB55" s="28"/>
      <c r="AC55" s="28"/>
      <c r="AD55" s="11"/>
      <c r="AE55" s="5"/>
      <c r="AF55" s="5"/>
      <c r="AG55" s="5"/>
      <c r="AH55" s="5"/>
      <c r="AI55" s="5"/>
      <c r="AJ55" s="5"/>
      <c r="AK55" s="5"/>
      <c r="AL55" s="5"/>
      <c r="AM55" s="5"/>
      <c r="AN55" s="17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28"/>
      <c r="BA55" s="5"/>
      <c r="BB55" s="5"/>
      <c r="BC55" s="5"/>
      <c r="BD55" s="5"/>
      <c r="BE55" s="5"/>
      <c r="BF55" s="28"/>
      <c r="BG55" s="28"/>
      <c r="BH55" s="5"/>
      <c r="BI55" s="5"/>
      <c r="BJ55" s="5">
        <f t="shared" si="2"/>
        <v>0</v>
      </c>
      <c r="BK55" s="42"/>
      <c r="BL55" s="42"/>
      <c r="BM55" s="13"/>
    </row>
    <row r="56" spans="1:67" s="8" customFormat="1" ht="11.25" hidden="1">
      <c r="A56" s="44"/>
      <c r="B56" s="9" t="s">
        <v>47</v>
      </c>
      <c r="C56" s="9" t="str">
        <f>"5KG-OS"</f>
        <v>5KG-OS</v>
      </c>
      <c r="D56" s="21"/>
      <c r="E56" s="28"/>
      <c r="F56" s="28"/>
      <c r="G56" s="5"/>
      <c r="H56" s="34"/>
      <c r="I56" s="28"/>
      <c r="J56" s="28"/>
      <c r="K56" s="28"/>
      <c r="L56" s="28"/>
      <c r="M56" s="28"/>
      <c r="N56" s="28"/>
      <c r="O56" s="28"/>
      <c r="P56" s="28"/>
      <c r="Q56" s="5"/>
      <c r="R56" s="5"/>
      <c r="S56" s="5"/>
      <c r="T56" s="5"/>
      <c r="U56" s="5"/>
      <c r="V56" s="5"/>
      <c r="W56" s="28"/>
      <c r="X56" s="28"/>
      <c r="Y56" s="28"/>
      <c r="Z56" s="5"/>
      <c r="AA56" s="5"/>
      <c r="AB56" s="28"/>
      <c r="AC56" s="28"/>
      <c r="AD56" s="11"/>
      <c r="AE56" s="5"/>
      <c r="AF56" s="5"/>
      <c r="AG56" s="5"/>
      <c r="AH56" s="5"/>
      <c r="AI56" s="5"/>
      <c r="AJ56" s="5"/>
      <c r="AK56" s="5"/>
      <c r="AL56" s="5"/>
      <c r="AM56" s="5"/>
      <c r="AN56" s="17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28"/>
      <c r="BA56" s="5"/>
      <c r="BB56" s="5"/>
      <c r="BC56" s="5"/>
      <c r="BD56" s="5"/>
      <c r="BE56" s="5"/>
      <c r="BF56" s="28"/>
      <c r="BG56" s="28"/>
      <c r="BH56" s="5"/>
      <c r="BI56" s="5"/>
      <c r="BJ56" s="5">
        <f t="shared" si="2"/>
        <v>0</v>
      </c>
      <c r="BK56" s="42"/>
      <c r="BL56" s="42"/>
      <c r="BM56" s="13"/>
      <c r="BO56" s="9"/>
    </row>
    <row r="57" spans="1:65" s="9" customFormat="1" ht="11.25" hidden="1">
      <c r="A57" s="43"/>
      <c r="B57" s="9" t="s">
        <v>47</v>
      </c>
      <c r="C57" s="9" t="str">
        <f>"A/1"</f>
        <v>A/1</v>
      </c>
      <c r="D57" s="17"/>
      <c r="E57" s="27"/>
      <c r="F57" s="27"/>
      <c r="G57" s="4"/>
      <c r="H57" s="34"/>
      <c r="I57" s="27"/>
      <c r="J57" s="27"/>
      <c r="K57" s="27"/>
      <c r="L57" s="27"/>
      <c r="M57" s="27"/>
      <c r="N57" s="27"/>
      <c r="O57" s="27"/>
      <c r="P57" s="27"/>
      <c r="Q57" s="4"/>
      <c r="R57" s="4"/>
      <c r="S57" s="4"/>
      <c r="T57" s="4"/>
      <c r="U57" s="4"/>
      <c r="V57" s="4"/>
      <c r="W57" s="27"/>
      <c r="X57" s="27"/>
      <c r="Y57" s="27"/>
      <c r="Z57" s="4"/>
      <c r="AA57" s="4"/>
      <c r="AB57" s="27"/>
      <c r="AC57" s="27"/>
      <c r="AD57" s="10"/>
      <c r="AE57" s="4"/>
      <c r="AF57" s="4"/>
      <c r="AG57" s="4"/>
      <c r="AH57" s="4"/>
      <c r="AI57" s="4"/>
      <c r="AJ57" s="4"/>
      <c r="AK57" s="4"/>
      <c r="AL57" s="4"/>
      <c r="AM57" s="4"/>
      <c r="AN57" s="17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27"/>
      <c r="BA57" s="4"/>
      <c r="BB57" s="4"/>
      <c r="BC57" s="4"/>
      <c r="BD57" s="4"/>
      <c r="BE57" s="4"/>
      <c r="BF57" s="27"/>
      <c r="BG57" s="27"/>
      <c r="BH57" s="4"/>
      <c r="BI57" s="4"/>
      <c r="BJ57" s="5">
        <f t="shared" si="2"/>
        <v>0</v>
      </c>
      <c r="BK57" s="41"/>
      <c r="BL57" s="41"/>
      <c r="BM57" s="51"/>
    </row>
    <row r="58" spans="1:67" s="9" customFormat="1" ht="11.25" hidden="1">
      <c r="A58" s="43"/>
      <c r="B58" s="9" t="s">
        <v>47</v>
      </c>
      <c r="D58" s="17"/>
      <c r="E58" s="27"/>
      <c r="F58" s="27"/>
      <c r="G58" s="4"/>
      <c r="H58" s="34"/>
      <c r="I58" s="27"/>
      <c r="J58" s="27"/>
      <c r="K58" s="27"/>
      <c r="L58" s="27"/>
      <c r="M58" s="27"/>
      <c r="N58" s="27"/>
      <c r="O58" s="27"/>
      <c r="P58" s="27"/>
      <c r="Q58" s="4"/>
      <c r="R58" s="4"/>
      <c r="S58" s="4"/>
      <c r="T58" s="4"/>
      <c r="U58" s="4"/>
      <c r="V58" s="4"/>
      <c r="W58" s="27"/>
      <c r="X58" s="27"/>
      <c r="Y58" s="27"/>
      <c r="Z58" s="4"/>
      <c r="AA58" s="4"/>
      <c r="AB58" s="27"/>
      <c r="AC58" s="27"/>
      <c r="AD58" s="10"/>
      <c r="AE58" s="4"/>
      <c r="AF58" s="4"/>
      <c r="AG58" s="4"/>
      <c r="AH58" s="4"/>
      <c r="AI58" s="4"/>
      <c r="AJ58" s="4"/>
      <c r="AK58" s="4"/>
      <c r="AL58" s="4"/>
      <c r="AM58" s="4"/>
      <c r="AN58" s="17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27"/>
      <c r="BA58" s="4"/>
      <c r="BB58" s="4"/>
      <c r="BC58" s="4"/>
      <c r="BD58" s="4"/>
      <c r="BE58" s="4"/>
      <c r="BF58" s="27"/>
      <c r="BG58" s="27"/>
      <c r="BH58" s="4"/>
      <c r="BI58" s="4"/>
      <c r="BJ58" s="5">
        <f t="shared" si="2"/>
        <v>0</v>
      </c>
      <c r="BK58" s="41"/>
      <c r="BL58" s="41"/>
      <c r="BM58" s="51"/>
      <c r="BO58" s="8"/>
    </row>
    <row r="59" spans="1:65" s="8" customFormat="1" ht="11.25" hidden="1">
      <c r="A59" s="44"/>
      <c r="B59" s="9" t="s">
        <v>47</v>
      </c>
      <c r="C59" s="9"/>
      <c r="D59" s="21"/>
      <c r="E59" s="28"/>
      <c r="F59" s="28"/>
      <c r="G59" s="5"/>
      <c r="H59" s="34"/>
      <c r="I59" s="28"/>
      <c r="J59" s="28"/>
      <c r="K59" s="28"/>
      <c r="L59" s="28"/>
      <c r="M59" s="28"/>
      <c r="N59" s="28"/>
      <c r="O59" s="28"/>
      <c r="P59" s="28"/>
      <c r="Q59" s="5"/>
      <c r="R59" s="5"/>
      <c r="S59" s="5"/>
      <c r="T59" s="5"/>
      <c r="U59" s="5"/>
      <c r="V59" s="5"/>
      <c r="W59" s="28"/>
      <c r="X59" s="28"/>
      <c r="Y59" s="28"/>
      <c r="Z59" s="5"/>
      <c r="AA59" s="5"/>
      <c r="AB59" s="28"/>
      <c r="AC59" s="28"/>
      <c r="AD59" s="11"/>
      <c r="AE59" s="5"/>
      <c r="AF59" s="5"/>
      <c r="AG59" s="5"/>
      <c r="AH59" s="5"/>
      <c r="AI59" s="5"/>
      <c r="AJ59" s="5"/>
      <c r="AK59" s="5"/>
      <c r="AL59" s="5"/>
      <c r="AM59" s="5"/>
      <c r="AN59" s="17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28"/>
      <c r="BA59" s="5"/>
      <c r="BB59" s="5"/>
      <c r="BC59" s="5"/>
      <c r="BD59" s="5"/>
      <c r="BE59" s="5"/>
      <c r="BF59" s="28"/>
      <c r="BG59" s="28"/>
      <c r="BH59" s="5"/>
      <c r="BI59" s="5"/>
      <c r="BJ59" s="5">
        <f t="shared" si="2"/>
        <v>0</v>
      </c>
      <c r="BK59" s="42"/>
      <c r="BL59" s="42"/>
      <c r="BM59" s="13"/>
    </row>
    <row r="60" spans="1:65" s="8" customFormat="1" ht="11.25" hidden="1">
      <c r="A60" s="44"/>
      <c r="B60" s="9" t="s">
        <v>47</v>
      </c>
      <c r="C60" s="9" t="str">
        <f>"A/4 (20/40-ES)"</f>
        <v>A/4 (20/40-ES)</v>
      </c>
      <c r="D60" s="21"/>
      <c r="E60" s="28"/>
      <c r="F60" s="28"/>
      <c r="G60" s="5"/>
      <c r="H60" s="34"/>
      <c r="I60" s="28"/>
      <c r="J60" s="28"/>
      <c r="K60" s="28"/>
      <c r="L60" s="28"/>
      <c r="M60" s="28"/>
      <c r="N60" s="28"/>
      <c r="O60" s="28"/>
      <c r="P60" s="28"/>
      <c r="Q60" s="5"/>
      <c r="R60" s="5"/>
      <c r="S60" s="5"/>
      <c r="T60" s="5"/>
      <c r="U60" s="5"/>
      <c r="V60" s="5"/>
      <c r="W60" s="28"/>
      <c r="X60" s="28"/>
      <c r="Y60" s="28"/>
      <c r="Z60" s="5"/>
      <c r="AA60" s="5"/>
      <c r="AB60" s="28"/>
      <c r="AC60" s="28"/>
      <c r="AD60" s="11"/>
      <c r="AE60" s="5"/>
      <c r="AF60" s="5"/>
      <c r="AG60" s="5"/>
      <c r="AH60" s="5"/>
      <c r="AI60" s="5"/>
      <c r="AJ60" s="5"/>
      <c r="AK60" s="5"/>
      <c r="AL60" s="5"/>
      <c r="AM60" s="5"/>
      <c r="AN60" s="17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28"/>
      <c r="BA60" s="5"/>
      <c r="BB60" s="5"/>
      <c r="BC60" s="5"/>
      <c r="BD60" s="5"/>
      <c r="BE60" s="5"/>
      <c r="BF60" s="28"/>
      <c r="BG60" s="28"/>
      <c r="BH60" s="5"/>
      <c r="BI60" s="5"/>
      <c r="BJ60" s="5">
        <f t="shared" si="2"/>
        <v>0</v>
      </c>
      <c r="BK60" s="42"/>
      <c r="BL60" s="42"/>
      <c r="BM60" s="13"/>
    </row>
    <row r="61" spans="1:65" s="8" customFormat="1" ht="11.25" hidden="1">
      <c r="A61" s="44"/>
      <c r="B61" s="9" t="s">
        <v>47</v>
      </c>
      <c r="C61" s="9" t="str">
        <f>"A/4 (40/80-AS)"</f>
        <v>A/4 (40/80-AS)</v>
      </c>
      <c r="D61" s="21"/>
      <c r="E61" s="28"/>
      <c r="F61" s="28"/>
      <c r="G61" s="5"/>
      <c r="H61" s="34"/>
      <c r="I61" s="28"/>
      <c r="J61" s="28"/>
      <c r="K61" s="28"/>
      <c r="L61" s="28"/>
      <c r="M61" s="28"/>
      <c r="N61" s="28"/>
      <c r="O61" s="28"/>
      <c r="P61" s="28"/>
      <c r="Q61" s="5"/>
      <c r="R61" s="5"/>
      <c r="S61" s="5"/>
      <c r="T61" s="5"/>
      <c r="U61" s="5"/>
      <c r="V61" s="5"/>
      <c r="W61" s="28"/>
      <c r="X61" s="28"/>
      <c r="Y61" s="28"/>
      <c r="Z61" s="5"/>
      <c r="AA61" s="5"/>
      <c r="AB61" s="28"/>
      <c r="AC61" s="28"/>
      <c r="AD61" s="11"/>
      <c r="AE61" s="5"/>
      <c r="AF61" s="5"/>
      <c r="AG61" s="5"/>
      <c r="AH61" s="5"/>
      <c r="AI61" s="5"/>
      <c r="AJ61" s="5"/>
      <c r="AK61" s="5"/>
      <c r="AL61" s="5"/>
      <c r="AM61" s="5"/>
      <c r="AN61" s="17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28"/>
      <c r="BA61" s="5"/>
      <c r="BB61" s="5"/>
      <c r="BC61" s="5"/>
      <c r="BD61" s="5"/>
      <c r="BE61" s="5"/>
      <c r="BF61" s="28"/>
      <c r="BG61" s="28"/>
      <c r="BH61" s="5"/>
      <c r="BI61" s="5"/>
      <c r="BJ61" s="5">
        <f t="shared" si="2"/>
        <v>0</v>
      </c>
      <c r="BK61" s="42"/>
      <c r="BL61" s="42"/>
      <c r="BM61" s="13"/>
    </row>
    <row r="62" spans="1:65" s="8" customFormat="1" ht="11.25">
      <c r="A62" s="44" t="s">
        <v>193</v>
      </c>
      <c r="B62" s="9" t="str">
        <f aca="true" t="shared" si="4" ref="B62:B72">"BORÍTÉK (ÖNTAPADÓS) SZILIKONOS"</f>
        <v>BORÍTÉK (ÖNTAPADÓS) SZILIKONOS</v>
      </c>
      <c r="C62" s="9" t="s">
        <v>162</v>
      </c>
      <c r="D62" s="21" t="s">
        <v>22</v>
      </c>
      <c r="E62" s="28">
        <v>20</v>
      </c>
      <c r="F62" s="28"/>
      <c r="G62" s="5"/>
      <c r="H62" s="34"/>
      <c r="I62" s="28"/>
      <c r="J62" s="28">
        <v>200</v>
      </c>
      <c r="K62" s="28"/>
      <c r="L62" s="28"/>
      <c r="M62" s="28"/>
      <c r="N62" s="28"/>
      <c r="O62" s="28"/>
      <c r="P62" s="28"/>
      <c r="Q62" s="5"/>
      <c r="R62" s="5"/>
      <c r="S62" s="5"/>
      <c r="T62" s="5"/>
      <c r="U62" s="5"/>
      <c r="V62" s="5"/>
      <c r="W62" s="28"/>
      <c r="X62" s="28">
        <v>20</v>
      </c>
      <c r="Y62" s="28"/>
      <c r="Z62" s="5"/>
      <c r="AA62" s="5"/>
      <c r="AB62" s="28"/>
      <c r="AC62" s="28"/>
      <c r="AD62" s="11"/>
      <c r="AE62" s="5"/>
      <c r="AF62" s="5"/>
      <c r="AG62" s="5"/>
      <c r="AH62" s="5"/>
      <c r="AI62" s="5"/>
      <c r="AJ62" s="5"/>
      <c r="AK62" s="5"/>
      <c r="AL62" s="5"/>
      <c r="AM62" s="5"/>
      <c r="AN62" s="17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8"/>
      <c r="BA62" s="5"/>
      <c r="BB62" s="5"/>
      <c r="BC62" s="5"/>
      <c r="BD62" s="5">
        <v>10</v>
      </c>
      <c r="BE62" s="5">
        <v>10</v>
      </c>
      <c r="BF62" s="28"/>
      <c r="BG62" s="28"/>
      <c r="BH62" s="5"/>
      <c r="BI62" s="5"/>
      <c r="BJ62" s="5">
        <f t="shared" si="2"/>
        <v>260</v>
      </c>
      <c r="BK62" s="42" t="s">
        <v>22</v>
      </c>
      <c r="BL62" s="42"/>
      <c r="BM62" s="13"/>
    </row>
    <row r="63" spans="1:65" s="8" customFormat="1" ht="11.25">
      <c r="A63" s="44" t="s">
        <v>194</v>
      </c>
      <c r="B63" s="9" t="str">
        <f t="shared" si="4"/>
        <v>BORÍTÉK (ÖNTAPADÓS) SZILIKONOS</v>
      </c>
      <c r="C63" s="9" t="s">
        <v>67</v>
      </c>
      <c r="D63" s="21" t="s">
        <v>22</v>
      </c>
      <c r="E63" s="28">
        <v>20</v>
      </c>
      <c r="F63" s="28">
        <v>20</v>
      </c>
      <c r="G63" s="5"/>
      <c r="H63" s="34"/>
      <c r="I63" s="28"/>
      <c r="J63" s="35"/>
      <c r="K63" s="28">
        <v>100</v>
      </c>
      <c r="L63" s="28">
        <v>300</v>
      </c>
      <c r="M63" s="28"/>
      <c r="N63" s="28"/>
      <c r="O63" s="28"/>
      <c r="P63" s="28"/>
      <c r="Q63" s="5"/>
      <c r="R63" s="5"/>
      <c r="S63" s="5"/>
      <c r="T63" s="5"/>
      <c r="U63" s="5"/>
      <c r="V63" s="5">
        <v>50</v>
      </c>
      <c r="W63" s="28"/>
      <c r="X63" s="28">
        <v>30</v>
      </c>
      <c r="Y63" s="28"/>
      <c r="Z63" s="5"/>
      <c r="AA63" s="5"/>
      <c r="AB63" s="28"/>
      <c r="AC63" s="28"/>
      <c r="AD63" s="11"/>
      <c r="AE63" s="5"/>
      <c r="AF63" s="5"/>
      <c r="AG63" s="5"/>
      <c r="AH63" s="5"/>
      <c r="AI63" s="5"/>
      <c r="AJ63" s="5"/>
      <c r="AK63" s="5"/>
      <c r="AL63" s="5"/>
      <c r="AM63" s="5"/>
      <c r="AN63" s="17"/>
      <c r="AO63" s="5"/>
      <c r="AP63" s="5"/>
      <c r="AQ63" s="5"/>
      <c r="AR63" s="5"/>
      <c r="AS63" s="5"/>
      <c r="AT63" s="5"/>
      <c r="AU63" s="5"/>
      <c r="AV63" s="5"/>
      <c r="AW63" s="5"/>
      <c r="AX63" s="5">
        <v>50</v>
      </c>
      <c r="AY63" s="5">
        <v>50</v>
      </c>
      <c r="AZ63" s="28"/>
      <c r="BA63" s="5"/>
      <c r="BB63" s="5"/>
      <c r="BC63" s="5"/>
      <c r="BD63" s="5">
        <v>10</v>
      </c>
      <c r="BE63" s="5">
        <v>10</v>
      </c>
      <c r="BF63" s="28"/>
      <c r="BG63" s="28"/>
      <c r="BH63" s="5"/>
      <c r="BI63" s="5"/>
      <c r="BJ63" s="5">
        <f t="shared" si="2"/>
        <v>640</v>
      </c>
      <c r="BK63" s="42" t="s">
        <v>22</v>
      </c>
      <c r="BL63" s="42"/>
      <c r="BM63" s="13"/>
    </row>
    <row r="64" spans="1:65" s="8" customFormat="1" ht="11.25">
      <c r="A64" s="44" t="s">
        <v>195</v>
      </c>
      <c r="B64" s="9" t="str">
        <f t="shared" si="4"/>
        <v>BORÍTÉK (ÖNTAPADÓS) SZILIKONOS</v>
      </c>
      <c r="C64" s="9" t="s">
        <v>68</v>
      </c>
      <c r="D64" s="21" t="s">
        <v>22</v>
      </c>
      <c r="E64" s="28">
        <v>30</v>
      </c>
      <c r="F64" s="28">
        <v>50</v>
      </c>
      <c r="G64" s="5"/>
      <c r="H64" s="34"/>
      <c r="I64" s="28"/>
      <c r="J64" s="28"/>
      <c r="K64" s="28">
        <v>300</v>
      </c>
      <c r="L64" s="28">
        <v>600</v>
      </c>
      <c r="M64" s="28"/>
      <c r="N64" s="28"/>
      <c r="O64" s="28"/>
      <c r="P64" s="28"/>
      <c r="Q64" s="5">
        <v>200</v>
      </c>
      <c r="R64" s="5"/>
      <c r="S64" s="5"/>
      <c r="T64" s="5"/>
      <c r="U64" s="5"/>
      <c r="V64" s="5">
        <v>50</v>
      </c>
      <c r="W64" s="28"/>
      <c r="X64" s="28">
        <v>50</v>
      </c>
      <c r="Y64" s="28"/>
      <c r="Z64" s="5"/>
      <c r="AA64" s="5"/>
      <c r="AB64" s="28"/>
      <c r="AC64" s="28"/>
      <c r="AD64" s="11"/>
      <c r="AE64" s="5"/>
      <c r="AF64" s="5"/>
      <c r="AG64" s="5"/>
      <c r="AH64" s="5"/>
      <c r="AI64" s="5"/>
      <c r="AJ64" s="5"/>
      <c r="AK64" s="5"/>
      <c r="AL64" s="5"/>
      <c r="AM64" s="5"/>
      <c r="AN64" s="17"/>
      <c r="AO64" s="5"/>
      <c r="AP64" s="5"/>
      <c r="AQ64" s="5"/>
      <c r="AR64" s="5"/>
      <c r="AS64" s="5">
        <v>100</v>
      </c>
      <c r="AT64" s="5">
        <v>100</v>
      </c>
      <c r="AU64" s="5">
        <v>200</v>
      </c>
      <c r="AV64" s="5">
        <v>300</v>
      </c>
      <c r="AW64" s="5"/>
      <c r="AX64" s="5"/>
      <c r="AY64" s="5"/>
      <c r="AZ64" s="28"/>
      <c r="BA64" s="5"/>
      <c r="BB64" s="5"/>
      <c r="BC64" s="5"/>
      <c r="BD64" s="5">
        <v>20</v>
      </c>
      <c r="BE64" s="5">
        <v>20</v>
      </c>
      <c r="BF64" s="28">
        <v>150</v>
      </c>
      <c r="BG64" s="28"/>
      <c r="BH64" s="5"/>
      <c r="BI64" s="5"/>
      <c r="BJ64" s="5">
        <f t="shared" si="2"/>
        <v>2170</v>
      </c>
      <c r="BK64" s="42" t="s">
        <v>22</v>
      </c>
      <c r="BL64" s="42"/>
      <c r="BM64" s="13"/>
    </row>
    <row r="65" spans="1:65" s="8" customFormat="1" ht="11.25" hidden="1">
      <c r="A65" s="44"/>
      <c r="B65" s="9" t="str">
        <f t="shared" si="4"/>
        <v>BORÍTÉK (ÖNTAPADÓS) SZILIKONOS</v>
      </c>
      <c r="C65" s="9" t="str">
        <f>"A/4"</f>
        <v>A/4</v>
      </c>
      <c r="D65" s="21" t="s">
        <v>22</v>
      </c>
      <c r="E65" s="28"/>
      <c r="F65" s="28"/>
      <c r="G65" s="5"/>
      <c r="H65" s="34"/>
      <c r="I65" s="28"/>
      <c r="J65" s="28"/>
      <c r="K65" s="28"/>
      <c r="L65" s="28"/>
      <c r="M65" s="28"/>
      <c r="N65" s="28"/>
      <c r="O65" s="28"/>
      <c r="P65" s="28"/>
      <c r="Q65" s="5"/>
      <c r="R65" s="5"/>
      <c r="S65" s="5"/>
      <c r="T65" s="5"/>
      <c r="U65" s="5"/>
      <c r="V65" s="5"/>
      <c r="W65" s="28"/>
      <c r="X65" s="28"/>
      <c r="Y65" s="28"/>
      <c r="Z65" s="5"/>
      <c r="AA65" s="5"/>
      <c r="AB65" s="28"/>
      <c r="AC65" s="28"/>
      <c r="AD65" s="11"/>
      <c r="AE65" s="5"/>
      <c r="AF65" s="5"/>
      <c r="AG65" s="5"/>
      <c r="AH65" s="5"/>
      <c r="AI65" s="5"/>
      <c r="AJ65" s="5"/>
      <c r="AK65" s="5"/>
      <c r="AL65" s="5"/>
      <c r="AM65" s="5"/>
      <c r="AN65" s="17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28"/>
      <c r="BA65" s="5"/>
      <c r="BB65" s="5"/>
      <c r="BC65" s="5"/>
      <c r="BD65" s="5"/>
      <c r="BE65" s="5"/>
      <c r="BF65" s="28"/>
      <c r="BG65" s="28"/>
      <c r="BH65" s="5"/>
      <c r="BI65" s="5"/>
      <c r="BJ65" s="5">
        <f t="shared" si="2"/>
        <v>0</v>
      </c>
      <c r="BK65" s="42" t="s">
        <v>22</v>
      </c>
      <c r="BL65" s="42"/>
      <c r="BM65" s="13"/>
    </row>
    <row r="66" spans="1:65" s="8" customFormat="1" ht="11.25" hidden="1">
      <c r="A66" s="44"/>
      <c r="B66" s="9" t="str">
        <f t="shared" si="4"/>
        <v>BORÍTÉK (ÖNTAPADÓS) SZILIKONOS</v>
      </c>
      <c r="C66" s="9" t="str">
        <f>"A/5"</f>
        <v>A/5</v>
      </c>
      <c r="D66" s="21" t="s">
        <v>22</v>
      </c>
      <c r="E66" s="28"/>
      <c r="F66" s="28"/>
      <c r="G66" s="5"/>
      <c r="H66" s="34"/>
      <c r="I66" s="28"/>
      <c r="J66" s="28"/>
      <c r="K66" s="28"/>
      <c r="L66" s="28"/>
      <c r="M66" s="28"/>
      <c r="N66" s="28"/>
      <c r="O66" s="28"/>
      <c r="P66" s="28"/>
      <c r="Q66" s="5"/>
      <c r="R66" s="5"/>
      <c r="S66" s="5"/>
      <c r="T66" s="5"/>
      <c r="U66" s="5"/>
      <c r="V66" s="5"/>
      <c r="W66" s="28"/>
      <c r="X66" s="28"/>
      <c r="Y66" s="28"/>
      <c r="Z66" s="5"/>
      <c r="AA66" s="5"/>
      <c r="AB66" s="28"/>
      <c r="AC66" s="28"/>
      <c r="AD66" s="11"/>
      <c r="AE66" s="5"/>
      <c r="AF66" s="5"/>
      <c r="AG66" s="5"/>
      <c r="AH66" s="5"/>
      <c r="AI66" s="5"/>
      <c r="AJ66" s="5"/>
      <c r="AK66" s="5"/>
      <c r="AL66" s="5"/>
      <c r="AM66" s="5"/>
      <c r="AN66" s="17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28"/>
      <c r="BA66" s="5"/>
      <c r="BB66" s="5"/>
      <c r="BC66" s="5"/>
      <c r="BD66" s="5"/>
      <c r="BE66" s="5"/>
      <c r="BF66" s="28"/>
      <c r="BG66" s="28"/>
      <c r="BH66" s="5"/>
      <c r="BI66" s="5"/>
      <c r="BJ66" s="5">
        <f t="shared" si="2"/>
        <v>0</v>
      </c>
      <c r="BK66" s="42" t="s">
        <v>22</v>
      </c>
      <c r="BL66" s="42"/>
      <c r="BM66" s="13"/>
    </row>
    <row r="67" spans="1:65" s="8" customFormat="1" ht="11.25" hidden="1">
      <c r="A67" s="44"/>
      <c r="B67" s="9" t="str">
        <f t="shared" si="4"/>
        <v>BORÍTÉK (ÖNTAPADÓS) SZILIKONOS</v>
      </c>
      <c r="C67" s="9" t="s">
        <v>13</v>
      </c>
      <c r="D67" s="21" t="s">
        <v>22</v>
      </c>
      <c r="E67" s="28"/>
      <c r="F67" s="28"/>
      <c r="G67" s="5"/>
      <c r="H67" s="34"/>
      <c r="I67" s="28"/>
      <c r="J67" s="28"/>
      <c r="K67" s="28"/>
      <c r="L67" s="28"/>
      <c r="M67" s="28"/>
      <c r="N67" s="28"/>
      <c r="O67" s="28"/>
      <c r="P67" s="28"/>
      <c r="Q67" s="5"/>
      <c r="R67" s="5"/>
      <c r="S67" s="5"/>
      <c r="T67" s="5"/>
      <c r="U67" s="5"/>
      <c r="V67" s="5"/>
      <c r="W67" s="28"/>
      <c r="X67" s="28"/>
      <c r="Y67" s="28"/>
      <c r="Z67" s="5"/>
      <c r="AA67" s="5"/>
      <c r="AB67" s="28"/>
      <c r="AC67" s="28"/>
      <c r="AD67" s="11"/>
      <c r="AE67" s="5"/>
      <c r="AF67" s="5"/>
      <c r="AG67" s="5"/>
      <c r="AH67" s="5"/>
      <c r="AI67" s="5"/>
      <c r="AJ67" s="5"/>
      <c r="AK67" s="5"/>
      <c r="AL67" s="5"/>
      <c r="AM67" s="5"/>
      <c r="AN67" s="17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28"/>
      <c r="BA67" s="5"/>
      <c r="BB67" s="5"/>
      <c r="BC67" s="5"/>
      <c r="BD67" s="5"/>
      <c r="BE67" s="5"/>
      <c r="BF67" s="28"/>
      <c r="BG67" s="28"/>
      <c r="BH67" s="5"/>
      <c r="BI67" s="5"/>
      <c r="BJ67" s="5">
        <f t="shared" si="2"/>
        <v>0</v>
      </c>
      <c r="BK67" s="42" t="s">
        <v>22</v>
      </c>
      <c r="BL67" s="42"/>
      <c r="BM67" s="13"/>
    </row>
    <row r="68" spans="1:67" s="8" customFormat="1" ht="11.25" hidden="1">
      <c r="A68" s="44"/>
      <c r="B68" s="9" t="str">
        <f t="shared" si="4"/>
        <v>BORÍTÉK (ÖNTAPADÓS) SZILIKONOS</v>
      </c>
      <c r="C68" s="9"/>
      <c r="D68" s="21" t="s">
        <v>22</v>
      </c>
      <c r="E68" s="28"/>
      <c r="F68" s="28"/>
      <c r="G68" s="5"/>
      <c r="H68" s="34"/>
      <c r="I68" s="28"/>
      <c r="J68" s="28"/>
      <c r="K68" s="28"/>
      <c r="L68" s="28"/>
      <c r="M68" s="28"/>
      <c r="N68" s="28"/>
      <c r="O68" s="28"/>
      <c r="P68" s="28"/>
      <c r="Q68" s="5"/>
      <c r="R68" s="5"/>
      <c r="S68" s="5"/>
      <c r="T68" s="5"/>
      <c r="U68" s="5"/>
      <c r="V68" s="5"/>
      <c r="W68" s="28"/>
      <c r="X68" s="28"/>
      <c r="Y68" s="28"/>
      <c r="Z68" s="5"/>
      <c r="AA68" s="5"/>
      <c r="AB68" s="28"/>
      <c r="AC68" s="28"/>
      <c r="AD68" s="11"/>
      <c r="AE68" s="5"/>
      <c r="AF68" s="5"/>
      <c r="AG68" s="5"/>
      <c r="AH68" s="5"/>
      <c r="AI68" s="5"/>
      <c r="AJ68" s="5"/>
      <c r="AK68" s="5"/>
      <c r="AL68" s="5"/>
      <c r="AM68" s="5"/>
      <c r="AN68" s="17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28"/>
      <c r="BA68" s="5"/>
      <c r="BB68" s="5"/>
      <c r="BC68" s="5"/>
      <c r="BD68" s="5"/>
      <c r="BE68" s="5"/>
      <c r="BF68" s="28"/>
      <c r="BG68" s="28"/>
      <c r="BH68" s="5"/>
      <c r="BI68" s="5"/>
      <c r="BJ68" s="5">
        <f t="shared" si="2"/>
        <v>0</v>
      </c>
      <c r="BK68" s="42" t="s">
        <v>22</v>
      </c>
      <c r="BL68" s="42"/>
      <c r="BM68" s="13"/>
      <c r="BO68" s="9"/>
    </row>
    <row r="69" spans="1:65" s="9" customFormat="1" ht="11.25" hidden="1">
      <c r="A69" s="43"/>
      <c r="B69" s="9" t="str">
        <f t="shared" si="4"/>
        <v>BORÍTÉK (ÖNTAPADÓS) SZILIKONOS</v>
      </c>
      <c r="D69" s="21" t="s">
        <v>22</v>
      </c>
      <c r="E69" s="27"/>
      <c r="F69" s="27"/>
      <c r="G69" s="4"/>
      <c r="H69" s="34"/>
      <c r="I69" s="27"/>
      <c r="J69" s="27"/>
      <c r="K69" s="27"/>
      <c r="L69" s="27"/>
      <c r="M69" s="27"/>
      <c r="N69" s="27"/>
      <c r="O69" s="27"/>
      <c r="P69" s="27"/>
      <c r="Q69" s="4"/>
      <c r="R69" s="4"/>
      <c r="S69" s="4"/>
      <c r="T69" s="4"/>
      <c r="U69" s="4"/>
      <c r="V69" s="4"/>
      <c r="W69" s="27"/>
      <c r="X69" s="27"/>
      <c r="Y69" s="27"/>
      <c r="Z69" s="4"/>
      <c r="AA69" s="4"/>
      <c r="AB69" s="27"/>
      <c r="AC69" s="27"/>
      <c r="AD69" s="10"/>
      <c r="AE69" s="4"/>
      <c r="AF69" s="4"/>
      <c r="AG69" s="4"/>
      <c r="AH69" s="4"/>
      <c r="AI69" s="4"/>
      <c r="AJ69" s="4"/>
      <c r="AK69" s="4"/>
      <c r="AL69" s="4"/>
      <c r="AM69" s="4"/>
      <c r="AN69" s="17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27"/>
      <c r="BA69" s="4"/>
      <c r="BB69" s="4"/>
      <c r="BC69" s="4"/>
      <c r="BD69" s="4"/>
      <c r="BE69" s="4"/>
      <c r="BF69" s="27"/>
      <c r="BG69" s="27"/>
      <c r="BH69" s="4"/>
      <c r="BI69" s="4"/>
      <c r="BJ69" s="5">
        <f t="shared" si="2"/>
        <v>0</v>
      </c>
      <c r="BK69" s="42" t="s">
        <v>22</v>
      </c>
      <c r="BL69" s="42"/>
      <c r="BM69" s="51"/>
    </row>
    <row r="70" spans="1:65" s="9" customFormat="1" ht="11.25" hidden="1">
      <c r="A70" s="43"/>
      <c r="B70" s="9" t="str">
        <f t="shared" si="4"/>
        <v>BORÍTÉK (ÖNTAPADÓS) SZILIKONOS</v>
      </c>
      <c r="C70" s="9" t="str">
        <f>"B.318-206"</f>
        <v>B.318-206</v>
      </c>
      <c r="D70" s="21" t="s">
        <v>22</v>
      </c>
      <c r="E70" s="27"/>
      <c r="F70" s="27"/>
      <c r="G70" s="4"/>
      <c r="H70" s="34"/>
      <c r="I70" s="27"/>
      <c r="J70" s="27"/>
      <c r="K70" s="27"/>
      <c r="L70" s="27"/>
      <c r="M70" s="27"/>
      <c r="N70" s="27"/>
      <c r="O70" s="27"/>
      <c r="P70" s="27"/>
      <c r="Q70" s="4"/>
      <c r="R70" s="4"/>
      <c r="S70" s="4"/>
      <c r="T70" s="4"/>
      <c r="U70" s="4"/>
      <c r="V70" s="4"/>
      <c r="W70" s="27"/>
      <c r="X70" s="27"/>
      <c r="Y70" s="27"/>
      <c r="Z70" s="4"/>
      <c r="AA70" s="4"/>
      <c r="AB70" s="27"/>
      <c r="AC70" s="27"/>
      <c r="AD70" s="10"/>
      <c r="AE70" s="4"/>
      <c r="AF70" s="4"/>
      <c r="AG70" s="4"/>
      <c r="AH70" s="4"/>
      <c r="AI70" s="4"/>
      <c r="AJ70" s="4"/>
      <c r="AK70" s="4"/>
      <c r="AL70" s="4"/>
      <c r="AM70" s="4"/>
      <c r="AN70" s="17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27"/>
      <c r="BA70" s="4"/>
      <c r="BB70" s="4"/>
      <c r="BC70" s="4"/>
      <c r="BD70" s="4"/>
      <c r="BE70" s="4"/>
      <c r="BF70" s="27"/>
      <c r="BG70" s="27"/>
      <c r="BH70" s="4"/>
      <c r="BI70" s="4"/>
      <c r="BJ70" s="5">
        <f t="shared" si="2"/>
        <v>0</v>
      </c>
      <c r="BK70" s="42" t="s">
        <v>22</v>
      </c>
      <c r="BL70" s="42"/>
      <c r="BM70" s="51"/>
    </row>
    <row r="71" spans="1:65" s="9" customFormat="1" ht="11.25" hidden="1">
      <c r="A71" s="43"/>
      <c r="B71" s="9" t="str">
        <f t="shared" si="4"/>
        <v>BORÍTÉK (ÖNTAPADÓS) SZILIKONOS</v>
      </c>
      <c r="C71" s="9" t="str">
        <f>"C.18-72"</f>
        <v>C.18-72</v>
      </c>
      <c r="D71" s="21" t="s">
        <v>22</v>
      </c>
      <c r="E71" s="27"/>
      <c r="F71" s="27"/>
      <c r="G71" s="4"/>
      <c r="H71" s="34"/>
      <c r="I71" s="27"/>
      <c r="J71" s="27"/>
      <c r="K71" s="27"/>
      <c r="L71" s="27"/>
      <c r="M71" s="27"/>
      <c r="N71" s="27"/>
      <c r="O71" s="27"/>
      <c r="P71" s="27"/>
      <c r="Q71" s="4"/>
      <c r="R71" s="4"/>
      <c r="S71" s="4"/>
      <c r="T71" s="4"/>
      <c r="U71" s="4"/>
      <c r="V71" s="4"/>
      <c r="W71" s="27"/>
      <c r="X71" s="27"/>
      <c r="Y71" s="27"/>
      <c r="Z71" s="4"/>
      <c r="AA71" s="4"/>
      <c r="AB71" s="27"/>
      <c r="AC71" s="27"/>
      <c r="AD71" s="10"/>
      <c r="AE71" s="4"/>
      <c r="AF71" s="4"/>
      <c r="AG71" s="4"/>
      <c r="AH71" s="4"/>
      <c r="AI71" s="4"/>
      <c r="AJ71" s="4"/>
      <c r="AK71" s="4"/>
      <c r="AL71" s="4"/>
      <c r="AM71" s="4"/>
      <c r="AN71" s="17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27"/>
      <c r="BA71" s="4"/>
      <c r="BB71" s="4"/>
      <c r="BC71" s="4"/>
      <c r="BD71" s="4"/>
      <c r="BE71" s="4"/>
      <c r="BF71" s="27"/>
      <c r="BG71" s="27"/>
      <c r="BH71" s="4"/>
      <c r="BI71" s="4"/>
      <c r="BJ71" s="5">
        <f t="shared" si="2"/>
        <v>0</v>
      </c>
      <c r="BK71" s="42" t="s">
        <v>22</v>
      </c>
      <c r="BL71" s="42"/>
      <c r="BM71" s="51"/>
    </row>
    <row r="72" spans="1:65" s="9" customFormat="1" ht="11.25" hidden="1">
      <c r="A72" s="43"/>
      <c r="B72" s="9" t="str">
        <f t="shared" si="4"/>
        <v>BORÍTÉK (ÖNTAPADÓS) SZILIKONOS</v>
      </c>
      <c r="D72" s="21" t="s">
        <v>22</v>
      </c>
      <c r="E72" s="27"/>
      <c r="F72" s="27"/>
      <c r="G72" s="4"/>
      <c r="H72" s="34"/>
      <c r="I72" s="27"/>
      <c r="J72" s="27"/>
      <c r="K72" s="27"/>
      <c r="L72" s="27"/>
      <c r="M72" s="27"/>
      <c r="N72" s="27"/>
      <c r="O72" s="27"/>
      <c r="P72" s="27"/>
      <c r="Q72" s="4"/>
      <c r="R72" s="4"/>
      <c r="S72" s="4"/>
      <c r="T72" s="4"/>
      <c r="U72" s="4"/>
      <c r="V72" s="4"/>
      <c r="W72" s="27"/>
      <c r="X72" s="27"/>
      <c r="Y72" s="27"/>
      <c r="Z72" s="4"/>
      <c r="AA72" s="4"/>
      <c r="AB72" s="27"/>
      <c r="AC72" s="27"/>
      <c r="AD72" s="10"/>
      <c r="AE72" s="4"/>
      <c r="AF72" s="4"/>
      <c r="AG72" s="4"/>
      <c r="AH72" s="4"/>
      <c r="AI72" s="4"/>
      <c r="AJ72" s="4"/>
      <c r="AK72" s="4"/>
      <c r="AL72" s="4"/>
      <c r="AM72" s="4"/>
      <c r="AN72" s="17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27"/>
      <c r="BA72" s="4"/>
      <c r="BB72" s="4"/>
      <c r="BC72" s="4"/>
      <c r="BD72" s="4"/>
      <c r="BE72" s="4"/>
      <c r="BF72" s="27"/>
      <c r="BG72" s="27"/>
      <c r="BH72" s="4"/>
      <c r="BI72" s="4"/>
      <c r="BJ72" s="5">
        <f t="shared" si="2"/>
        <v>0</v>
      </c>
      <c r="BK72" s="42" t="s">
        <v>22</v>
      </c>
      <c r="BL72" s="42"/>
      <c r="BM72" s="51"/>
    </row>
    <row r="73" spans="1:65" s="9" customFormat="1" ht="11.25">
      <c r="A73" s="43" t="s">
        <v>196</v>
      </c>
      <c r="B73" s="9" t="s">
        <v>136</v>
      </c>
      <c r="C73" s="9" t="s">
        <v>137</v>
      </c>
      <c r="D73" s="21" t="s">
        <v>22</v>
      </c>
      <c r="E73" s="27"/>
      <c r="F73" s="27"/>
      <c r="G73" s="4"/>
      <c r="H73" s="34"/>
      <c r="I73" s="27"/>
      <c r="J73" s="27"/>
      <c r="K73" s="27"/>
      <c r="L73" s="27"/>
      <c r="M73" s="27"/>
      <c r="N73" s="27"/>
      <c r="O73" s="27"/>
      <c r="P73" s="27"/>
      <c r="Q73" s="4">
        <v>10</v>
      </c>
      <c r="R73" s="4"/>
      <c r="S73" s="4"/>
      <c r="T73" s="4"/>
      <c r="U73" s="4"/>
      <c r="V73" s="4"/>
      <c r="W73" s="27"/>
      <c r="X73" s="27"/>
      <c r="Y73" s="27"/>
      <c r="Z73" s="4"/>
      <c r="AA73" s="4"/>
      <c r="AB73" s="27"/>
      <c r="AC73" s="27"/>
      <c r="AD73" s="10"/>
      <c r="AE73" s="4"/>
      <c r="AF73" s="4"/>
      <c r="AG73" s="4"/>
      <c r="AH73" s="4"/>
      <c r="AI73" s="4"/>
      <c r="AJ73" s="4"/>
      <c r="AK73" s="4"/>
      <c r="AL73" s="4"/>
      <c r="AM73" s="4"/>
      <c r="AN73" s="17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27"/>
      <c r="BA73" s="4"/>
      <c r="BB73" s="4"/>
      <c r="BC73" s="4"/>
      <c r="BD73" s="4"/>
      <c r="BE73" s="4"/>
      <c r="BF73" s="27"/>
      <c r="BG73" s="27"/>
      <c r="BH73" s="4"/>
      <c r="BI73" s="4"/>
      <c r="BJ73" s="5">
        <f t="shared" si="2"/>
        <v>10</v>
      </c>
      <c r="BK73" s="42" t="s">
        <v>22</v>
      </c>
      <c r="BL73" s="42"/>
      <c r="BM73" s="51"/>
    </row>
    <row r="74" spans="1:65" s="8" customFormat="1" ht="11.25">
      <c r="A74" s="44" t="s">
        <v>197</v>
      </c>
      <c r="B74" s="8" t="s">
        <v>82</v>
      </c>
      <c r="C74" s="8" t="s">
        <v>83</v>
      </c>
      <c r="D74" s="21" t="s">
        <v>22</v>
      </c>
      <c r="E74" s="28">
        <v>5</v>
      </c>
      <c r="F74" s="28"/>
      <c r="G74" s="5"/>
      <c r="H74" s="31"/>
      <c r="I74" s="28"/>
      <c r="J74" s="28">
        <v>2</v>
      </c>
      <c r="K74" s="28"/>
      <c r="L74" s="28"/>
      <c r="M74" s="28"/>
      <c r="N74" s="28"/>
      <c r="O74" s="28"/>
      <c r="P74" s="28"/>
      <c r="Q74" s="5"/>
      <c r="R74" s="5"/>
      <c r="S74" s="5"/>
      <c r="T74" s="5"/>
      <c r="U74" s="5"/>
      <c r="V74" s="5"/>
      <c r="W74" s="28"/>
      <c r="X74" s="28"/>
      <c r="Y74" s="28"/>
      <c r="Z74" s="5"/>
      <c r="AA74" s="5"/>
      <c r="AB74" s="28"/>
      <c r="AC74" s="28"/>
      <c r="AD74" s="11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28"/>
      <c r="BA74" s="5"/>
      <c r="BB74" s="5"/>
      <c r="BC74" s="5"/>
      <c r="BD74" s="5"/>
      <c r="BE74" s="5"/>
      <c r="BF74" s="28"/>
      <c r="BG74" s="28"/>
      <c r="BH74" s="5"/>
      <c r="BI74" s="5"/>
      <c r="BJ74" s="5">
        <f t="shared" si="2"/>
        <v>7</v>
      </c>
      <c r="BK74" s="42" t="s">
        <v>22</v>
      </c>
      <c r="BL74" s="42"/>
      <c r="BM74" s="13"/>
    </row>
    <row r="75" spans="1:65" s="8" customFormat="1" ht="11.25">
      <c r="A75" s="44" t="s">
        <v>198</v>
      </c>
      <c r="B75" s="9" t="s">
        <v>45</v>
      </c>
      <c r="C75" s="9" t="s">
        <v>14</v>
      </c>
      <c r="D75" s="21" t="s">
        <v>22</v>
      </c>
      <c r="E75" s="27"/>
      <c r="F75" s="27"/>
      <c r="G75" s="4"/>
      <c r="H75" s="34"/>
      <c r="I75" s="27"/>
      <c r="J75" s="27"/>
      <c r="K75" s="27"/>
      <c r="L75" s="27"/>
      <c r="M75" s="27"/>
      <c r="N75" s="27"/>
      <c r="O75" s="27"/>
      <c r="P75" s="27"/>
      <c r="Q75" s="4"/>
      <c r="R75" s="4"/>
      <c r="S75" s="4"/>
      <c r="T75" s="4"/>
      <c r="U75" s="4"/>
      <c r="V75" s="4"/>
      <c r="W75" s="27"/>
      <c r="X75" s="27"/>
      <c r="Y75" s="27"/>
      <c r="Z75" s="4"/>
      <c r="AA75" s="4"/>
      <c r="AB75" s="27"/>
      <c r="AC75" s="27"/>
      <c r="AD75" s="10"/>
      <c r="AE75" s="4"/>
      <c r="AF75" s="4"/>
      <c r="AG75" s="4"/>
      <c r="AH75" s="4"/>
      <c r="AI75" s="4"/>
      <c r="AJ75" s="4"/>
      <c r="AK75" s="4"/>
      <c r="AL75" s="4"/>
      <c r="AM75" s="4"/>
      <c r="AN75" s="17"/>
      <c r="AO75" s="4"/>
      <c r="AP75" s="4"/>
      <c r="AQ75" s="4"/>
      <c r="AR75" s="4"/>
      <c r="AS75" s="4">
        <v>5</v>
      </c>
      <c r="AT75" s="4"/>
      <c r="AU75" s="4"/>
      <c r="AV75" s="4"/>
      <c r="AW75" s="4"/>
      <c r="AX75" s="4">
        <v>1</v>
      </c>
      <c r="AY75" s="4">
        <v>1</v>
      </c>
      <c r="AZ75" s="27"/>
      <c r="BA75" s="4"/>
      <c r="BB75" s="4"/>
      <c r="BC75" s="4"/>
      <c r="BD75" s="4"/>
      <c r="BE75" s="4"/>
      <c r="BF75" s="27"/>
      <c r="BG75" s="27"/>
      <c r="BH75" s="4"/>
      <c r="BI75" s="4"/>
      <c r="BJ75" s="5">
        <f aca="true" t="shared" si="5" ref="BJ75:BJ132">SUM(E75:BI75)</f>
        <v>7</v>
      </c>
      <c r="BK75" s="42" t="s">
        <v>22</v>
      </c>
      <c r="BL75" s="42"/>
      <c r="BM75" s="13"/>
    </row>
    <row r="76" spans="1:65" s="8" customFormat="1" ht="11.25">
      <c r="A76" s="44" t="s">
        <v>199</v>
      </c>
      <c r="B76" s="9" t="str">
        <f>"CERUZA (ZEBRA) PIXIRON"</f>
        <v>CERUZA (ZEBRA) PIXIRON</v>
      </c>
      <c r="C76" s="9" t="str">
        <f>"0,7 MM"</f>
        <v>0,7 MM</v>
      </c>
      <c r="D76" s="21" t="s">
        <v>22</v>
      </c>
      <c r="E76" s="27"/>
      <c r="F76" s="27">
        <v>5</v>
      </c>
      <c r="G76" s="4"/>
      <c r="H76" s="34"/>
      <c r="I76" s="27"/>
      <c r="J76" s="27"/>
      <c r="K76" s="27"/>
      <c r="L76" s="27"/>
      <c r="M76" s="27"/>
      <c r="N76" s="27"/>
      <c r="O76" s="27"/>
      <c r="P76" s="27"/>
      <c r="Q76" s="4"/>
      <c r="R76" s="4"/>
      <c r="S76" s="4"/>
      <c r="T76" s="4"/>
      <c r="U76" s="4"/>
      <c r="V76" s="4"/>
      <c r="W76" s="27"/>
      <c r="X76" s="27"/>
      <c r="Y76" s="27"/>
      <c r="Z76" s="4"/>
      <c r="AA76" s="4"/>
      <c r="AB76" s="27"/>
      <c r="AC76" s="27"/>
      <c r="AD76" s="10"/>
      <c r="AE76" s="4"/>
      <c r="AF76" s="4"/>
      <c r="AG76" s="4"/>
      <c r="AH76" s="4"/>
      <c r="AI76" s="4"/>
      <c r="AJ76" s="4"/>
      <c r="AK76" s="4"/>
      <c r="AL76" s="4"/>
      <c r="AM76" s="4"/>
      <c r="AN76" s="17"/>
      <c r="AO76" s="4"/>
      <c r="AP76" s="4"/>
      <c r="AQ76" s="4"/>
      <c r="AR76" s="4"/>
      <c r="AS76" s="4"/>
      <c r="AT76" s="4"/>
      <c r="AU76" s="4"/>
      <c r="AV76" s="4"/>
      <c r="AW76" s="4"/>
      <c r="AX76" s="4">
        <v>1</v>
      </c>
      <c r="AY76" s="4">
        <v>1</v>
      </c>
      <c r="AZ76" s="27"/>
      <c r="BA76" s="5"/>
      <c r="BB76" s="4"/>
      <c r="BC76" s="4"/>
      <c r="BD76" s="4"/>
      <c r="BE76" s="4"/>
      <c r="BF76" s="27"/>
      <c r="BG76" s="27"/>
      <c r="BH76" s="4"/>
      <c r="BI76" s="4"/>
      <c r="BJ76" s="5">
        <f t="shared" si="5"/>
        <v>7</v>
      </c>
      <c r="BK76" s="42" t="s">
        <v>22</v>
      </c>
      <c r="BL76" s="42"/>
      <c r="BM76" s="13"/>
    </row>
    <row r="77" spans="1:65" s="9" customFormat="1" ht="11.25">
      <c r="A77" s="43" t="s">
        <v>200</v>
      </c>
      <c r="B77" s="9" t="str">
        <f>"CERUZA (ZEBRA) PIXIRON"</f>
        <v>CERUZA (ZEBRA) PIXIRON</v>
      </c>
      <c r="C77" s="9" t="str">
        <f>"0.5 MM"</f>
        <v>0.5 MM</v>
      </c>
      <c r="D77" s="21" t="s">
        <v>22</v>
      </c>
      <c r="E77" s="27"/>
      <c r="F77" s="27"/>
      <c r="G77" s="4">
        <v>2</v>
      </c>
      <c r="H77" s="34"/>
      <c r="I77" s="27"/>
      <c r="J77" s="27"/>
      <c r="K77" s="27"/>
      <c r="L77" s="27"/>
      <c r="M77" s="27"/>
      <c r="N77" s="27"/>
      <c r="O77" s="27"/>
      <c r="P77" s="27"/>
      <c r="Q77" s="4"/>
      <c r="R77" s="4"/>
      <c r="S77" s="4"/>
      <c r="T77" s="4"/>
      <c r="U77" s="4"/>
      <c r="V77" s="4"/>
      <c r="W77" s="27"/>
      <c r="X77" s="27"/>
      <c r="Y77" s="27"/>
      <c r="Z77" s="4"/>
      <c r="AA77" s="4"/>
      <c r="AB77" s="27"/>
      <c r="AC77" s="27"/>
      <c r="AD77" s="10"/>
      <c r="AE77" s="4"/>
      <c r="AF77" s="4"/>
      <c r="AG77" s="4"/>
      <c r="AH77" s="4"/>
      <c r="AI77" s="4"/>
      <c r="AJ77" s="4"/>
      <c r="AK77" s="4"/>
      <c r="AL77" s="4"/>
      <c r="AM77" s="4"/>
      <c r="AN77" s="17"/>
      <c r="AO77" s="4"/>
      <c r="AP77" s="4"/>
      <c r="AQ77" s="4"/>
      <c r="AR77" s="4"/>
      <c r="AS77" s="4"/>
      <c r="AT77" s="4"/>
      <c r="AU77" s="4"/>
      <c r="AV77" s="4"/>
      <c r="AW77" s="4"/>
      <c r="AX77" s="4">
        <v>1</v>
      </c>
      <c r="AY77" s="4">
        <v>1</v>
      </c>
      <c r="AZ77" s="27"/>
      <c r="BA77" s="4">
        <v>1</v>
      </c>
      <c r="BB77" s="4"/>
      <c r="BC77" s="4"/>
      <c r="BD77" s="4"/>
      <c r="BE77" s="4">
        <v>1</v>
      </c>
      <c r="BF77" s="27"/>
      <c r="BG77" s="27"/>
      <c r="BH77" s="4"/>
      <c r="BI77" s="4"/>
      <c r="BJ77" s="5">
        <f t="shared" si="5"/>
        <v>6</v>
      </c>
      <c r="BK77" s="42" t="s">
        <v>22</v>
      </c>
      <c r="BL77" s="42"/>
      <c r="BM77" s="51"/>
    </row>
    <row r="78" spans="1:65" s="9" customFormat="1" ht="11.25">
      <c r="A78" s="43" t="s">
        <v>202</v>
      </c>
      <c r="B78" s="9" t="s">
        <v>85</v>
      </c>
      <c r="C78" s="9" t="str">
        <f>"0,7 MM"</f>
        <v>0,7 MM</v>
      </c>
      <c r="D78" s="21" t="s">
        <v>22</v>
      </c>
      <c r="E78" s="28"/>
      <c r="F78" s="28"/>
      <c r="G78" s="5"/>
      <c r="H78" s="31"/>
      <c r="I78" s="28"/>
      <c r="J78" s="28"/>
      <c r="K78" s="28"/>
      <c r="L78" s="28"/>
      <c r="M78" s="28"/>
      <c r="N78" s="28"/>
      <c r="O78" s="28"/>
      <c r="P78" s="28"/>
      <c r="Q78" s="5"/>
      <c r="R78" s="5"/>
      <c r="S78" s="5"/>
      <c r="T78" s="5"/>
      <c r="U78" s="5"/>
      <c r="V78" s="5"/>
      <c r="W78" s="28"/>
      <c r="X78" s="28"/>
      <c r="Y78" s="28"/>
      <c r="Z78" s="5"/>
      <c r="AA78" s="5"/>
      <c r="AB78" s="28"/>
      <c r="AC78" s="28"/>
      <c r="AD78" s="11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4">
        <v>1</v>
      </c>
      <c r="AY78" s="5">
        <v>1</v>
      </c>
      <c r="AZ78" s="28"/>
      <c r="BA78" s="5"/>
      <c r="BB78" s="5"/>
      <c r="BC78" s="5"/>
      <c r="BD78" s="5"/>
      <c r="BE78" s="5"/>
      <c r="BF78" s="28"/>
      <c r="BG78" s="28"/>
      <c r="BH78" s="5"/>
      <c r="BI78" s="5"/>
      <c r="BJ78" s="5">
        <f t="shared" si="5"/>
        <v>2</v>
      </c>
      <c r="BK78" s="42" t="s">
        <v>22</v>
      </c>
      <c r="BL78" s="42"/>
      <c r="BM78" s="51"/>
    </row>
    <row r="79" spans="1:65" s="9" customFormat="1" ht="11.25">
      <c r="A79" s="43" t="s">
        <v>201</v>
      </c>
      <c r="B79" s="9" t="s">
        <v>47</v>
      </c>
      <c r="C79" s="9" t="str">
        <f>"0,5 MM"</f>
        <v>0,5 MM</v>
      </c>
      <c r="D79" s="21" t="s">
        <v>22</v>
      </c>
      <c r="E79" s="27"/>
      <c r="F79" s="27"/>
      <c r="G79" s="4"/>
      <c r="H79" s="34"/>
      <c r="I79" s="27"/>
      <c r="J79" s="27"/>
      <c r="K79" s="27"/>
      <c r="L79" s="27"/>
      <c r="M79" s="27"/>
      <c r="N79" s="27"/>
      <c r="O79" s="27"/>
      <c r="P79" s="27"/>
      <c r="Q79" s="4"/>
      <c r="R79" s="4"/>
      <c r="S79" s="4"/>
      <c r="T79" s="4"/>
      <c r="U79" s="4"/>
      <c r="V79" s="4"/>
      <c r="W79" s="27"/>
      <c r="X79" s="27"/>
      <c r="Y79" s="27"/>
      <c r="Z79" s="4"/>
      <c r="AA79" s="4"/>
      <c r="AB79" s="27"/>
      <c r="AC79" s="27"/>
      <c r="AD79" s="10"/>
      <c r="AE79" s="4"/>
      <c r="AF79" s="4"/>
      <c r="AG79" s="4"/>
      <c r="AH79" s="4"/>
      <c r="AI79" s="4"/>
      <c r="AJ79" s="4"/>
      <c r="AK79" s="4"/>
      <c r="AL79" s="4"/>
      <c r="AM79" s="4"/>
      <c r="AN79" s="17"/>
      <c r="AO79" s="4"/>
      <c r="AP79" s="4"/>
      <c r="AQ79" s="4"/>
      <c r="AR79" s="4"/>
      <c r="AS79" s="4"/>
      <c r="AT79" s="4"/>
      <c r="AU79" s="4"/>
      <c r="AV79" s="4"/>
      <c r="AW79" s="4"/>
      <c r="AX79" s="4">
        <v>1</v>
      </c>
      <c r="AY79" s="4">
        <v>1</v>
      </c>
      <c r="AZ79" s="27"/>
      <c r="BA79" s="4">
        <v>1</v>
      </c>
      <c r="BB79" s="4"/>
      <c r="BC79" s="4"/>
      <c r="BD79" s="4"/>
      <c r="BE79" s="4"/>
      <c r="BF79" s="27"/>
      <c r="BG79" s="27"/>
      <c r="BH79" s="4"/>
      <c r="BI79" s="4"/>
      <c r="BJ79" s="5">
        <f t="shared" si="5"/>
        <v>3</v>
      </c>
      <c r="BK79" s="42" t="s">
        <v>22</v>
      </c>
      <c r="BL79" s="42"/>
      <c r="BM79" s="51"/>
    </row>
    <row r="80" spans="1:65" s="9" customFormat="1" ht="11.25" hidden="1">
      <c r="A80" s="43"/>
      <c r="B80" s="9" t="str">
        <f>"EMELŐGÉP NAPLÓ"</f>
        <v>EMELŐGÉP NAPLÓ</v>
      </c>
      <c r="C80" s="9" t="str">
        <f>"A/5"</f>
        <v>A/5</v>
      </c>
      <c r="D80" s="21" t="s">
        <v>22</v>
      </c>
      <c r="E80" s="27"/>
      <c r="F80" s="27"/>
      <c r="G80" s="4"/>
      <c r="H80" s="34"/>
      <c r="I80" s="27"/>
      <c r="J80" s="27"/>
      <c r="K80" s="27"/>
      <c r="L80" s="27"/>
      <c r="M80" s="36"/>
      <c r="N80" s="27"/>
      <c r="O80" s="27"/>
      <c r="P80" s="27"/>
      <c r="Q80" s="4"/>
      <c r="R80" s="4"/>
      <c r="S80" s="4"/>
      <c r="T80" s="4"/>
      <c r="U80" s="4"/>
      <c r="V80" s="4"/>
      <c r="W80" s="27"/>
      <c r="X80" s="27"/>
      <c r="Y80" s="27"/>
      <c r="Z80" s="4"/>
      <c r="AA80" s="4"/>
      <c r="AB80" s="27"/>
      <c r="AC80" s="27"/>
      <c r="AD80" s="10"/>
      <c r="AE80" s="4"/>
      <c r="AF80" s="4"/>
      <c r="AG80" s="4"/>
      <c r="AH80" s="4"/>
      <c r="AI80" s="4"/>
      <c r="AJ80" s="4"/>
      <c r="AK80" s="4"/>
      <c r="AL80" s="4"/>
      <c r="AM80" s="4"/>
      <c r="AN80" s="19"/>
      <c r="AO80" s="4"/>
      <c r="AP80" s="6"/>
      <c r="AQ80" s="4"/>
      <c r="AR80" s="4"/>
      <c r="AS80" s="4"/>
      <c r="AT80" s="4"/>
      <c r="AU80" s="4"/>
      <c r="AV80" s="4"/>
      <c r="AW80" s="4"/>
      <c r="AX80" s="4"/>
      <c r="AY80" s="4"/>
      <c r="AZ80" s="37"/>
      <c r="BA80" s="18"/>
      <c r="BB80" s="18"/>
      <c r="BC80" s="18"/>
      <c r="BD80" s="4"/>
      <c r="BE80" s="4"/>
      <c r="BF80" s="27"/>
      <c r="BG80" s="27"/>
      <c r="BH80" s="4"/>
      <c r="BI80" s="4"/>
      <c r="BJ80" s="5">
        <f t="shared" si="5"/>
        <v>0</v>
      </c>
      <c r="BK80" s="42" t="s">
        <v>22</v>
      </c>
      <c r="BL80" s="42"/>
      <c r="BM80" s="51"/>
    </row>
    <row r="81" spans="1:65" s="9" customFormat="1" ht="11.25" hidden="1">
      <c r="A81" s="43"/>
      <c r="B81" s="9" t="str">
        <f>"ENGEDÉLY TŰZVESZÉLYES MUNKAVÉGZÉSHEZ"</f>
        <v>ENGEDÉLY TŰZVESZÉLYES MUNKAVÉGZÉSHEZ</v>
      </c>
      <c r="C81" s="9" t="str">
        <f>"A/4 (25X2)"</f>
        <v>A/4 (25X2)</v>
      </c>
      <c r="D81" s="21" t="s">
        <v>22</v>
      </c>
      <c r="E81" s="27"/>
      <c r="F81" s="27"/>
      <c r="G81" s="4"/>
      <c r="H81" s="34"/>
      <c r="I81" s="27"/>
      <c r="J81" s="27"/>
      <c r="K81" s="27"/>
      <c r="L81" s="27"/>
      <c r="M81" s="36"/>
      <c r="N81" s="27"/>
      <c r="O81" s="27"/>
      <c r="P81" s="27"/>
      <c r="Q81" s="4"/>
      <c r="R81" s="4"/>
      <c r="S81" s="4"/>
      <c r="T81" s="4"/>
      <c r="U81" s="4"/>
      <c r="V81" s="4"/>
      <c r="W81" s="27"/>
      <c r="X81" s="27"/>
      <c r="Y81" s="27"/>
      <c r="Z81" s="4"/>
      <c r="AA81" s="4"/>
      <c r="AB81" s="27"/>
      <c r="AC81" s="27"/>
      <c r="AD81" s="10"/>
      <c r="AE81" s="4"/>
      <c r="AF81" s="4"/>
      <c r="AG81" s="4"/>
      <c r="AH81" s="4"/>
      <c r="AI81" s="4"/>
      <c r="AJ81" s="4"/>
      <c r="AK81" s="4"/>
      <c r="AL81" s="4"/>
      <c r="AM81" s="4"/>
      <c r="AN81" s="19"/>
      <c r="AO81" s="4"/>
      <c r="AP81" s="6"/>
      <c r="AQ81" s="4"/>
      <c r="AR81" s="4"/>
      <c r="AS81" s="4"/>
      <c r="AT81" s="4"/>
      <c r="AU81" s="4"/>
      <c r="AV81" s="4"/>
      <c r="AW81" s="4"/>
      <c r="AX81" s="4"/>
      <c r="AY81" s="4"/>
      <c r="AZ81" s="37"/>
      <c r="BA81" s="18"/>
      <c r="BB81" s="18"/>
      <c r="BC81" s="18"/>
      <c r="BD81" s="4"/>
      <c r="BE81" s="4"/>
      <c r="BF81" s="27"/>
      <c r="BG81" s="27"/>
      <c r="BH81" s="4"/>
      <c r="BI81" s="4"/>
      <c r="BJ81" s="5">
        <f t="shared" si="5"/>
        <v>0</v>
      </c>
      <c r="BK81" s="42" t="s">
        <v>22</v>
      </c>
      <c r="BL81" s="42"/>
      <c r="BM81" s="51"/>
    </row>
    <row r="82" spans="1:65" s="9" customFormat="1" ht="11.25" hidden="1">
      <c r="A82" s="43"/>
      <c r="B82" s="9" t="str">
        <f>"ÉPÍTÉSI NAPLÓ (25X3)"</f>
        <v>ÉPÍTÉSI NAPLÓ (25X3)</v>
      </c>
      <c r="C82" s="9" t="str">
        <f>"PÁTRIA"</f>
        <v>PÁTRIA</v>
      </c>
      <c r="D82" s="21" t="s">
        <v>22</v>
      </c>
      <c r="E82" s="27"/>
      <c r="F82" s="27"/>
      <c r="G82" s="4"/>
      <c r="H82" s="34"/>
      <c r="I82" s="27"/>
      <c r="J82" s="27"/>
      <c r="K82" s="27"/>
      <c r="L82" s="27"/>
      <c r="M82" s="36"/>
      <c r="N82" s="27"/>
      <c r="O82" s="27"/>
      <c r="P82" s="27"/>
      <c r="Q82" s="4"/>
      <c r="R82" s="4"/>
      <c r="S82" s="4"/>
      <c r="T82" s="4"/>
      <c r="U82" s="4"/>
      <c r="V82" s="4"/>
      <c r="W82" s="27"/>
      <c r="X82" s="27"/>
      <c r="Y82" s="27"/>
      <c r="Z82" s="4"/>
      <c r="AA82" s="4"/>
      <c r="AB82" s="27"/>
      <c r="AC82" s="27"/>
      <c r="AD82" s="10"/>
      <c r="AE82" s="4"/>
      <c r="AF82" s="4"/>
      <c r="AG82" s="4"/>
      <c r="AH82" s="4"/>
      <c r="AI82" s="4"/>
      <c r="AJ82" s="4"/>
      <c r="AK82" s="4"/>
      <c r="AL82" s="4"/>
      <c r="AM82" s="4"/>
      <c r="AN82" s="19"/>
      <c r="AO82" s="4"/>
      <c r="AP82" s="6"/>
      <c r="AQ82" s="4"/>
      <c r="AR82" s="4"/>
      <c r="AS82" s="4"/>
      <c r="AT82" s="4"/>
      <c r="AU82" s="4"/>
      <c r="AV82" s="4"/>
      <c r="AW82" s="4"/>
      <c r="AX82" s="4"/>
      <c r="AY82" s="4"/>
      <c r="AZ82" s="37"/>
      <c r="BA82" s="18"/>
      <c r="BB82" s="18"/>
      <c r="BC82" s="18"/>
      <c r="BD82" s="4"/>
      <c r="BE82" s="4"/>
      <c r="BF82" s="27"/>
      <c r="BG82" s="27"/>
      <c r="BH82" s="4"/>
      <c r="BI82" s="4"/>
      <c r="BJ82" s="5">
        <f t="shared" si="5"/>
        <v>0</v>
      </c>
      <c r="BK82" s="42" t="s">
        <v>22</v>
      </c>
      <c r="BL82" s="42"/>
      <c r="BM82" s="51"/>
    </row>
    <row r="83" spans="1:65" s="9" customFormat="1" ht="11.25" hidden="1">
      <c r="A83" s="43"/>
      <c r="B83" s="9" t="str">
        <f>"ETIKETT CIMKE"</f>
        <v>ETIKETT CIMKE</v>
      </c>
      <c r="C83" s="9" t="str">
        <f>"105X058 MM"</f>
        <v>105X058 MM</v>
      </c>
      <c r="D83" s="21" t="s">
        <v>22</v>
      </c>
      <c r="E83" s="27"/>
      <c r="F83" s="27"/>
      <c r="G83" s="4"/>
      <c r="H83" s="34"/>
      <c r="I83" s="27"/>
      <c r="J83" s="27"/>
      <c r="K83" s="27"/>
      <c r="L83" s="27"/>
      <c r="M83" s="36"/>
      <c r="N83" s="27"/>
      <c r="O83" s="27"/>
      <c r="P83" s="27"/>
      <c r="Q83" s="4"/>
      <c r="R83" s="4"/>
      <c r="S83" s="4"/>
      <c r="T83" s="4"/>
      <c r="U83" s="4"/>
      <c r="V83" s="4"/>
      <c r="W83" s="27"/>
      <c r="X83" s="27"/>
      <c r="Y83" s="27"/>
      <c r="Z83" s="4"/>
      <c r="AA83" s="4"/>
      <c r="AB83" s="27"/>
      <c r="AC83" s="27"/>
      <c r="AD83" s="10"/>
      <c r="AE83" s="4"/>
      <c r="AF83" s="4"/>
      <c r="AG83" s="4"/>
      <c r="AH83" s="4"/>
      <c r="AI83" s="4"/>
      <c r="AJ83" s="4"/>
      <c r="AK83" s="4"/>
      <c r="AL83" s="4"/>
      <c r="AM83" s="4"/>
      <c r="AN83" s="19"/>
      <c r="AO83" s="4"/>
      <c r="AP83" s="6"/>
      <c r="AQ83" s="4"/>
      <c r="AR83" s="4"/>
      <c r="AS83" s="4"/>
      <c r="AT83" s="4"/>
      <c r="AU83" s="4"/>
      <c r="AV83" s="4"/>
      <c r="AW83" s="4"/>
      <c r="AX83" s="4"/>
      <c r="AY83" s="4"/>
      <c r="AZ83" s="37"/>
      <c r="BA83" s="18"/>
      <c r="BB83" s="18"/>
      <c r="BC83" s="18"/>
      <c r="BD83" s="4"/>
      <c r="BE83" s="4"/>
      <c r="BF83" s="27"/>
      <c r="BG83" s="27"/>
      <c r="BH83" s="4"/>
      <c r="BI83" s="4"/>
      <c r="BJ83" s="5">
        <f t="shared" si="5"/>
        <v>0</v>
      </c>
      <c r="BK83" s="42" t="s">
        <v>22</v>
      </c>
      <c r="BL83" s="42"/>
      <c r="BM83" s="51"/>
    </row>
    <row r="84" spans="1:65" s="9" customFormat="1" ht="11.25" hidden="1">
      <c r="A84" s="43"/>
      <c r="B84" s="9" t="str">
        <f>"ETIKETT CIMKE"</f>
        <v>ETIKETT CIMKE</v>
      </c>
      <c r="C84" s="9" t="str">
        <f>"35 MM"</f>
        <v>35 MM</v>
      </c>
      <c r="D84" s="21" t="s">
        <v>22</v>
      </c>
      <c r="E84" s="27"/>
      <c r="F84" s="27"/>
      <c r="G84" s="4"/>
      <c r="H84" s="34"/>
      <c r="I84" s="27"/>
      <c r="J84" s="27"/>
      <c r="K84" s="27"/>
      <c r="L84" s="27"/>
      <c r="M84" s="36"/>
      <c r="N84" s="27"/>
      <c r="O84" s="27"/>
      <c r="P84" s="27"/>
      <c r="Q84" s="4"/>
      <c r="R84" s="4"/>
      <c r="S84" s="4"/>
      <c r="T84" s="4"/>
      <c r="U84" s="4"/>
      <c r="V84" s="4"/>
      <c r="W84" s="27"/>
      <c r="X84" s="27"/>
      <c r="Y84" s="27"/>
      <c r="Z84" s="4"/>
      <c r="AA84" s="4"/>
      <c r="AB84" s="27"/>
      <c r="AC84" s="27"/>
      <c r="AD84" s="10"/>
      <c r="AE84" s="4"/>
      <c r="AF84" s="4"/>
      <c r="AG84" s="4"/>
      <c r="AH84" s="4"/>
      <c r="AI84" s="4"/>
      <c r="AJ84" s="4"/>
      <c r="AK84" s="4"/>
      <c r="AL84" s="4"/>
      <c r="AM84" s="4"/>
      <c r="AN84" s="19"/>
      <c r="AO84" s="4"/>
      <c r="AP84" s="6"/>
      <c r="AQ84" s="4"/>
      <c r="AR84" s="4"/>
      <c r="AS84" s="4"/>
      <c r="AT84" s="4"/>
      <c r="AU84" s="4"/>
      <c r="AV84" s="4"/>
      <c r="AW84" s="4"/>
      <c r="AX84" s="4"/>
      <c r="AY84" s="4"/>
      <c r="AZ84" s="37"/>
      <c r="BA84" s="18"/>
      <c r="BB84" s="18"/>
      <c r="BC84" s="18"/>
      <c r="BD84" s="4"/>
      <c r="BE84" s="4"/>
      <c r="BF84" s="27"/>
      <c r="BG84" s="27"/>
      <c r="BH84" s="4"/>
      <c r="BI84" s="4"/>
      <c r="BJ84" s="5">
        <f t="shared" si="5"/>
        <v>0</v>
      </c>
      <c r="BK84" s="42" t="s">
        <v>22</v>
      </c>
      <c r="BL84" s="42"/>
      <c r="BM84" s="51"/>
    </row>
    <row r="85" spans="1:65" s="9" customFormat="1" ht="11.25" hidden="1">
      <c r="A85" s="43"/>
      <c r="B85" s="9" t="str">
        <f>"ETIKETT CIMKE"</f>
        <v>ETIKETT CIMKE</v>
      </c>
      <c r="D85" s="21" t="s">
        <v>22</v>
      </c>
      <c r="E85" s="27"/>
      <c r="F85" s="27"/>
      <c r="G85" s="4"/>
      <c r="H85" s="34"/>
      <c r="I85" s="27"/>
      <c r="J85" s="27"/>
      <c r="K85" s="27"/>
      <c r="L85" s="27"/>
      <c r="M85" s="36"/>
      <c r="N85" s="27"/>
      <c r="O85" s="27"/>
      <c r="P85" s="27"/>
      <c r="Q85" s="4"/>
      <c r="R85" s="4"/>
      <c r="S85" s="4"/>
      <c r="T85" s="4"/>
      <c r="U85" s="4"/>
      <c r="V85" s="4"/>
      <c r="W85" s="27"/>
      <c r="X85" s="27"/>
      <c r="Y85" s="27"/>
      <c r="Z85" s="4"/>
      <c r="AA85" s="4"/>
      <c r="AB85" s="27"/>
      <c r="AC85" s="27"/>
      <c r="AD85" s="10"/>
      <c r="AE85" s="4"/>
      <c r="AF85" s="4"/>
      <c r="AG85" s="4"/>
      <c r="AH85" s="4"/>
      <c r="AI85" s="4"/>
      <c r="AJ85" s="4"/>
      <c r="AK85" s="4"/>
      <c r="AL85" s="4"/>
      <c r="AM85" s="4"/>
      <c r="AN85" s="19"/>
      <c r="AO85" s="4"/>
      <c r="AP85" s="6"/>
      <c r="AQ85" s="4"/>
      <c r="AR85" s="4"/>
      <c r="AS85" s="4"/>
      <c r="AT85" s="4"/>
      <c r="AU85" s="4"/>
      <c r="AV85" s="4"/>
      <c r="AW85" s="4"/>
      <c r="AX85" s="4"/>
      <c r="AY85" s="4"/>
      <c r="AZ85" s="37"/>
      <c r="BA85" s="18"/>
      <c r="BB85" s="18"/>
      <c r="BC85" s="18"/>
      <c r="BD85" s="4"/>
      <c r="BE85" s="4"/>
      <c r="BF85" s="27"/>
      <c r="BG85" s="27"/>
      <c r="BH85" s="4"/>
      <c r="BI85" s="4"/>
      <c r="BJ85" s="5">
        <f t="shared" si="5"/>
        <v>0</v>
      </c>
      <c r="BK85" s="42" t="s">
        <v>22</v>
      </c>
      <c r="BL85" s="42"/>
      <c r="BM85" s="51"/>
    </row>
    <row r="86" spans="1:65" s="9" customFormat="1" ht="11.25">
      <c r="A86" s="43" t="s">
        <v>203</v>
      </c>
      <c r="B86" s="9" t="s">
        <v>163</v>
      </c>
      <c r="C86" s="9" t="s">
        <v>161</v>
      </c>
      <c r="D86" s="21" t="s">
        <v>22</v>
      </c>
      <c r="E86" s="27"/>
      <c r="F86" s="27"/>
      <c r="G86" s="4"/>
      <c r="H86" s="34"/>
      <c r="I86" s="27"/>
      <c r="J86" s="27"/>
      <c r="K86" s="27"/>
      <c r="L86" s="27"/>
      <c r="M86" s="36"/>
      <c r="N86" s="27"/>
      <c r="O86" s="27"/>
      <c r="P86" s="27"/>
      <c r="Q86" s="4"/>
      <c r="R86" s="4"/>
      <c r="S86" s="4"/>
      <c r="T86" s="4"/>
      <c r="U86" s="4"/>
      <c r="V86" s="4"/>
      <c r="W86" s="27"/>
      <c r="X86" s="27"/>
      <c r="Y86" s="27"/>
      <c r="Z86" s="4"/>
      <c r="AA86" s="4"/>
      <c r="AB86" s="27"/>
      <c r="AC86" s="27"/>
      <c r="AD86" s="10"/>
      <c r="AE86" s="4"/>
      <c r="AF86" s="4"/>
      <c r="AG86" s="4"/>
      <c r="AH86" s="4"/>
      <c r="AI86" s="4"/>
      <c r="AJ86" s="4"/>
      <c r="AK86" s="4"/>
      <c r="AL86" s="4"/>
      <c r="AM86" s="4"/>
      <c r="AN86" s="19"/>
      <c r="AO86" s="4"/>
      <c r="AP86" s="6"/>
      <c r="AQ86" s="4"/>
      <c r="AR86" s="4"/>
      <c r="AS86" s="4"/>
      <c r="AT86" s="4"/>
      <c r="AU86" s="4"/>
      <c r="AV86" s="4"/>
      <c r="AW86" s="4"/>
      <c r="AX86" s="4"/>
      <c r="AY86" s="4"/>
      <c r="AZ86" s="37"/>
      <c r="BA86" s="4">
        <v>1</v>
      </c>
      <c r="BB86" s="18"/>
      <c r="BC86" s="18"/>
      <c r="BD86" s="4"/>
      <c r="BE86" s="4"/>
      <c r="BF86" s="27"/>
      <c r="BG86" s="27"/>
      <c r="BH86" s="4"/>
      <c r="BI86" s="4"/>
      <c r="BJ86" s="5">
        <f t="shared" si="5"/>
        <v>1</v>
      </c>
      <c r="BK86" s="42" t="s">
        <v>22</v>
      </c>
      <c r="BL86" s="42"/>
      <c r="BM86" s="51"/>
    </row>
    <row r="87" spans="1:65" s="8" customFormat="1" ht="11.25">
      <c r="A87" s="44" t="s">
        <v>204</v>
      </c>
      <c r="B87" s="9" t="str">
        <f>"DOSSZIÉ (MŰANYAG HÁTLAPOS) FŰZŐS"</f>
        <v>DOSSZIÉ (MŰANYAG HÁTLAPOS) FŰZŐS</v>
      </c>
      <c r="C87" s="9" t="s">
        <v>105</v>
      </c>
      <c r="D87" s="21" t="s">
        <v>22</v>
      </c>
      <c r="E87" s="27"/>
      <c r="F87" s="27">
        <v>10</v>
      </c>
      <c r="G87" s="4">
        <v>5</v>
      </c>
      <c r="H87" s="34"/>
      <c r="I87" s="27"/>
      <c r="J87" s="27"/>
      <c r="K87" s="27"/>
      <c r="L87" s="27"/>
      <c r="M87" s="27"/>
      <c r="N87" s="27"/>
      <c r="O87" s="27"/>
      <c r="P87" s="27"/>
      <c r="Q87" s="4"/>
      <c r="R87" s="4"/>
      <c r="S87" s="4"/>
      <c r="T87" s="4"/>
      <c r="U87" s="4"/>
      <c r="V87" s="4"/>
      <c r="W87" s="27"/>
      <c r="X87" s="27"/>
      <c r="Y87" s="27"/>
      <c r="Z87" s="4"/>
      <c r="AA87" s="4"/>
      <c r="AB87" s="27"/>
      <c r="AC87" s="27"/>
      <c r="AD87" s="10"/>
      <c r="AE87" s="4"/>
      <c r="AF87" s="4"/>
      <c r="AG87" s="4"/>
      <c r="AH87" s="4"/>
      <c r="AI87" s="4"/>
      <c r="AJ87" s="4"/>
      <c r="AK87" s="4"/>
      <c r="AL87" s="4"/>
      <c r="AM87" s="4"/>
      <c r="AN87" s="17"/>
      <c r="AO87" s="4"/>
      <c r="AP87" s="4"/>
      <c r="AQ87" s="4"/>
      <c r="AR87" s="4"/>
      <c r="AS87" s="4"/>
      <c r="AT87" s="4"/>
      <c r="AU87" s="4"/>
      <c r="AV87" s="4"/>
      <c r="AW87" s="4">
        <v>10</v>
      </c>
      <c r="AX87" s="4"/>
      <c r="AY87" s="4"/>
      <c r="AZ87" s="27"/>
      <c r="BA87" s="4"/>
      <c r="BB87" s="4"/>
      <c r="BC87" s="4"/>
      <c r="BD87" s="4"/>
      <c r="BE87" s="4"/>
      <c r="BF87" s="27"/>
      <c r="BG87" s="27"/>
      <c r="BH87" s="4"/>
      <c r="BI87" s="4"/>
      <c r="BJ87" s="5">
        <f t="shared" si="5"/>
        <v>25</v>
      </c>
      <c r="BK87" s="42" t="s">
        <v>22</v>
      </c>
      <c r="BL87" s="42"/>
      <c r="BM87" s="13"/>
    </row>
    <row r="88" spans="1:65" s="9" customFormat="1" ht="11.25">
      <c r="A88" s="43" t="s">
        <v>205</v>
      </c>
      <c r="B88" s="9" t="str">
        <f>"DOSSZIÉ (MŰANYAG HÁTLAPOS) FŰZŐS"</f>
        <v>DOSSZIÉ (MŰANYAG HÁTLAPOS) FŰZŐS</v>
      </c>
      <c r="C88" s="9" t="s">
        <v>140</v>
      </c>
      <c r="D88" s="21" t="s">
        <v>22</v>
      </c>
      <c r="E88" s="28">
        <v>10</v>
      </c>
      <c r="F88" s="28"/>
      <c r="G88" s="5"/>
      <c r="H88" s="34"/>
      <c r="I88" s="28"/>
      <c r="J88" s="28"/>
      <c r="K88" s="28"/>
      <c r="L88" s="28"/>
      <c r="M88" s="28"/>
      <c r="N88" s="28"/>
      <c r="O88" s="28"/>
      <c r="P88" s="28"/>
      <c r="Q88" s="5"/>
      <c r="R88" s="5"/>
      <c r="S88" s="5"/>
      <c r="T88" s="5"/>
      <c r="U88" s="5"/>
      <c r="V88" s="5"/>
      <c r="W88" s="28"/>
      <c r="X88" s="28"/>
      <c r="Y88" s="28"/>
      <c r="Z88" s="5"/>
      <c r="AA88" s="5"/>
      <c r="AB88" s="28"/>
      <c r="AC88" s="28"/>
      <c r="AD88" s="11"/>
      <c r="AE88" s="5"/>
      <c r="AF88" s="5"/>
      <c r="AG88" s="5"/>
      <c r="AH88" s="5"/>
      <c r="AI88" s="5"/>
      <c r="AJ88" s="5"/>
      <c r="AK88" s="5"/>
      <c r="AL88" s="5"/>
      <c r="AM88" s="5"/>
      <c r="AN88" s="17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28"/>
      <c r="BA88" s="5"/>
      <c r="BB88" s="5"/>
      <c r="BC88" s="5"/>
      <c r="BD88" s="5"/>
      <c r="BE88" s="5"/>
      <c r="BF88" s="28"/>
      <c r="BG88" s="28"/>
      <c r="BH88" s="5"/>
      <c r="BI88" s="5"/>
      <c r="BJ88" s="5">
        <f t="shared" si="5"/>
        <v>10</v>
      </c>
      <c r="BK88" s="42" t="s">
        <v>22</v>
      </c>
      <c r="BL88" s="42"/>
      <c r="BM88" s="51"/>
    </row>
    <row r="89" spans="1:65" s="9" customFormat="1" ht="11.25" hidden="1">
      <c r="A89" s="43"/>
      <c r="B89" s="9" t="str">
        <f>"ETIKETT CIMKE (DATALINE)"</f>
        <v>ETIKETT CIMKE (DATALINE)</v>
      </c>
      <c r="C89" s="9" t="str">
        <f>"99,1X57 MM"</f>
        <v>99,1X57 MM</v>
      </c>
      <c r="D89" s="17"/>
      <c r="E89" s="27"/>
      <c r="F89" s="27"/>
      <c r="G89" s="4"/>
      <c r="H89" s="34"/>
      <c r="I89" s="27"/>
      <c r="J89" s="27"/>
      <c r="K89" s="27"/>
      <c r="L89" s="27"/>
      <c r="M89" s="27"/>
      <c r="N89" s="27"/>
      <c r="O89" s="27"/>
      <c r="P89" s="27"/>
      <c r="Q89" s="4"/>
      <c r="R89" s="4"/>
      <c r="S89" s="4"/>
      <c r="T89" s="4"/>
      <c r="U89" s="4"/>
      <c r="V89" s="4"/>
      <c r="W89" s="27"/>
      <c r="X89" s="27"/>
      <c r="Y89" s="27"/>
      <c r="Z89" s="4"/>
      <c r="AA89" s="4"/>
      <c r="AB89" s="27"/>
      <c r="AC89" s="27"/>
      <c r="AD89" s="10"/>
      <c r="AE89" s="4"/>
      <c r="AF89" s="4"/>
      <c r="AG89" s="4"/>
      <c r="AH89" s="4"/>
      <c r="AI89" s="4"/>
      <c r="AJ89" s="4"/>
      <c r="AK89" s="4"/>
      <c r="AL89" s="4"/>
      <c r="AM89" s="4"/>
      <c r="AN89" s="17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27"/>
      <c r="BA89" s="4"/>
      <c r="BB89" s="4"/>
      <c r="BC89" s="4"/>
      <c r="BD89" s="4"/>
      <c r="BE89" s="4"/>
      <c r="BF89" s="27"/>
      <c r="BG89" s="27"/>
      <c r="BH89" s="4"/>
      <c r="BI89" s="4"/>
      <c r="BJ89" s="5">
        <f t="shared" si="5"/>
        <v>0</v>
      </c>
      <c r="BK89" s="41"/>
      <c r="BL89" s="41"/>
      <c r="BM89" s="51"/>
    </row>
    <row r="90" spans="1:65" s="9" customFormat="1" ht="11.25" hidden="1">
      <c r="A90" s="43"/>
      <c r="B90" s="9" t="str">
        <f>"ETIKETT CIMKE (PÁTRIA)"</f>
        <v>ETIKETT CIMKE (PÁTRIA)</v>
      </c>
      <c r="C90" s="9" t="str">
        <f>"115X086 MM"</f>
        <v>115X086 MM</v>
      </c>
      <c r="D90" s="17"/>
      <c r="E90" s="27"/>
      <c r="F90" s="27"/>
      <c r="G90" s="4"/>
      <c r="H90" s="34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27"/>
      <c r="X90" s="27"/>
      <c r="Y90" s="27"/>
      <c r="Z90" s="4"/>
      <c r="AA90" s="4"/>
      <c r="AB90" s="27"/>
      <c r="AC90" s="27"/>
      <c r="AD90" s="10"/>
      <c r="AE90" s="4"/>
      <c r="AF90" s="4"/>
      <c r="AG90" s="4"/>
      <c r="AH90" s="4"/>
      <c r="AI90" s="4"/>
      <c r="AJ90" s="4"/>
      <c r="AK90" s="4"/>
      <c r="AL90" s="4"/>
      <c r="AM90" s="4"/>
      <c r="AN90" s="17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27"/>
      <c r="BA90" s="4"/>
      <c r="BB90" s="4"/>
      <c r="BC90" s="4"/>
      <c r="BD90" s="4"/>
      <c r="BE90" s="4"/>
      <c r="BF90" s="27"/>
      <c r="BG90" s="27"/>
      <c r="BH90" s="4"/>
      <c r="BI90" s="4"/>
      <c r="BJ90" s="5">
        <f t="shared" si="5"/>
        <v>0</v>
      </c>
      <c r="BK90" s="41"/>
      <c r="BL90" s="41"/>
      <c r="BM90" s="51"/>
    </row>
    <row r="91" spans="1:65" s="9" customFormat="1" ht="11.25" hidden="1">
      <c r="A91" s="43"/>
      <c r="B91" s="9" t="str">
        <f>"ETIKETT CIMKE (PÁTRIA)"</f>
        <v>ETIKETT CIMKE (PÁTRIA)</v>
      </c>
      <c r="C91" s="9" t="str">
        <f>"63,5X38,1 MM"</f>
        <v>63,5X38,1 MM</v>
      </c>
      <c r="D91" s="17"/>
      <c r="E91" s="27"/>
      <c r="F91" s="27"/>
      <c r="G91" s="4"/>
      <c r="H91" s="34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27"/>
      <c r="X91" s="27"/>
      <c r="Y91" s="27"/>
      <c r="Z91" s="4"/>
      <c r="AA91" s="4"/>
      <c r="AB91" s="27"/>
      <c r="AC91" s="27"/>
      <c r="AD91" s="10"/>
      <c r="AE91" s="4"/>
      <c r="AF91" s="4"/>
      <c r="AG91" s="4"/>
      <c r="AH91" s="4"/>
      <c r="AI91" s="4"/>
      <c r="AJ91" s="4"/>
      <c r="AK91" s="4"/>
      <c r="AL91" s="4"/>
      <c r="AM91" s="4"/>
      <c r="AN91" s="17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27"/>
      <c r="BA91" s="4"/>
      <c r="BB91" s="4"/>
      <c r="BC91" s="4"/>
      <c r="BD91" s="4"/>
      <c r="BE91" s="4"/>
      <c r="BF91" s="27"/>
      <c r="BG91" s="27"/>
      <c r="BH91" s="4"/>
      <c r="BI91" s="4"/>
      <c r="BJ91" s="5">
        <f t="shared" si="5"/>
        <v>0</v>
      </c>
      <c r="BK91" s="41"/>
      <c r="BL91" s="41"/>
      <c r="BM91" s="51"/>
    </row>
    <row r="92" spans="1:65" s="9" customFormat="1" ht="11.25" hidden="1">
      <c r="A92" s="43"/>
      <c r="B92" s="9" t="str">
        <f>"ETIKETT CIMKE (PÁTRIA)"</f>
        <v>ETIKETT CIMKE (PÁTRIA)</v>
      </c>
      <c r="C92" s="9" t="str">
        <f>"89,0X35,0 MM"</f>
        <v>89,0X35,0 MM</v>
      </c>
      <c r="D92" s="17"/>
      <c r="E92" s="27"/>
      <c r="F92" s="27"/>
      <c r="G92" s="4"/>
      <c r="H92" s="34"/>
      <c r="I92" s="27"/>
      <c r="J92" s="27"/>
      <c r="K92" s="27"/>
      <c r="L92" s="27"/>
      <c r="M92" s="27"/>
      <c r="N92" s="27"/>
      <c r="O92" s="27"/>
      <c r="P92" s="27"/>
      <c r="Q92" s="4"/>
      <c r="R92" s="4"/>
      <c r="S92" s="4"/>
      <c r="T92" s="4"/>
      <c r="U92" s="4"/>
      <c r="V92" s="4"/>
      <c r="W92" s="27"/>
      <c r="X92" s="27"/>
      <c r="Y92" s="27"/>
      <c r="Z92" s="4"/>
      <c r="AA92" s="4"/>
      <c r="AB92" s="27"/>
      <c r="AC92" s="27"/>
      <c r="AD92" s="10"/>
      <c r="AE92" s="4"/>
      <c r="AF92" s="4"/>
      <c r="AG92" s="4"/>
      <c r="AH92" s="4"/>
      <c r="AI92" s="4"/>
      <c r="AJ92" s="4"/>
      <c r="AK92" s="4"/>
      <c r="AL92" s="4"/>
      <c r="AM92" s="4"/>
      <c r="AN92" s="17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27"/>
      <c r="BA92" s="4"/>
      <c r="BB92" s="4"/>
      <c r="BC92" s="4"/>
      <c r="BD92" s="4"/>
      <c r="BE92" s="4"/>
      <c r="BF92" s="27"/>
      <c r="BG92" s="27"/>
      <c r="BH92" s="4"/>
      <c r="BI92" s="4"/>
      <c r="BJ92" s="5">
        <f t="shared" si="5"/>
        <v>0</v>
      </c>
      <c r="BK92" s="41"/>
      <c r="BL92" s="41"/>
      <c r="BM92" s="51"/>
    </row>
    <row r="93" spans="1:65" s="9" customFormat="1" ht="11.25" hidden="1">
      <c r="A93" s="43"/>
      <c r="B93" s="9" t="str">
        <f>"ETIKETT CIMKE (STENDFORM)"</f>
        <v>ETIKETT CIMKE (STENDFORM)</v>
      </c>
      <c r="C93" s="9" t="str">
        <f>"210X148 MM"</f>
        <v>210X148 MM</v>
      </c>
      <c r="D93" s="17"/>
      <c r="E93" s="27"/>
      <c r="F93" s="27"/>
      <c r="G93" s="4"/>
      <c r="H93" s="34"/>
      <c r="I93" s="27"/>
      <c r="J93" s="27"/>
      <c r="K93" s="27"/>
      <c r="L93" s="27"/>
      <c r="M93" s="27"/>
      <c r="N93" s="27"/>
      <c r="O93" s="27"/>
      <c r="P93" s="27"/>
      <c r="Q93" s="4"/>
      <c r="R93" s="4"/>
      <c r="S93" s="4"/>
      <c r="T93" s="4"/>
      <c r="U93" s="4"/>
      <c r="V93" s="4"/>
      <c r="W93" s="27"/>
      <c r="X93" s="27"/>
      <c r="Y93" s="27"/>
      <c r="Z93" s="4"/>
      <c r="AA93" s="4"/>
      <c r="AB93" s="27"/>
      <c r="AC93" s="27"/>
      <c r="AD93" s="10"/>
      <c r="AE93" s="4"/>
      <c r="AF93" s="4"/>
      <c r="AG93" s="4"/>
      <c r="AH93" s="4"/>
      <c r="AI93" s="4"/>
      <c r="AJ93" s="4"/>
      <c r="AK93" s="4"/>
      <c r="AL93" s="4"/>
      <c r="AM93" s="4"/>
      <c r="AN93" s="17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27"/>
      <c r="BA93" s="4"/>
      <c r="BB93" s="4"/>
      <c r="BC93" s="4"/>
      <c r="BD93" s="4"/>
      <c r="BE93" s="4"/>
      <c r="BF93" s="27"/>
      <c r="BG93" s="27"/>
      <c r="BH93" s="4"/>
      <c r="BI93" s="4"/>
      <c r="BJ93" s="5">
        <f t="shared" si="5"/>
        <v>0</v>
      </c>
      <c r="BK93" s="41"/>
      <c r="BL93" s="41"/>
      <c r="BM93" s="51"/>
    </row>
    <row r="94" spans="1:65" s="9" customFormat="1" ht="11.25" hidden="1">
      <c r="A94" s="43"/>
      <c r="B94" s="9" t="str">
        <f>"ETIKETT CIMKE (STENDFORM)"</f>
        <v>ETIKETT CIMKE (STENDFORM)</v>
      </c>
      <c r="C94" s="9" t="str">
        <f>"210X297 MM"</f>
        <v>210X297 MM</v>
      </c>
      <c r="D94" s="17"/>
      <c r="E94" s="27"/>
      <c r="F94" s="27"/>
      <c r="G94" s="4"/>
      <c r="H94" s="34"/>
      <c r="I94" s="27"/>
      <c r="J94" s="27"/>
      <c r="K94" s="27"/>
      <c r="L94" s="27"/>
      <c r="M94" s="27"/>
      <c r="N94" s="27"/>
      <c r="O94" s="27"/>
      <c r="P94" s="27"/>
      <c r="Q94" s="4"/>
      <c r="R94" s="4"/>
      <c r="S94" s="4"/>
      <c r="T94" s="4"/>
      <c r="U94" s="4"/>
      <c r="V94" s="4"/>
      <c r="W94" s="27"/>
      <c r="X94" s="27"/>
      <c r="Y94" s="27"/>
      <c r="Z94" s="4"/>
      <c r="AA94" s="4"/>
      <c r="AB94" s="27"/>
      <c r="AC94" s="27"/>
      <c r="AD94" s="10"/>
      <c r="AE94" s="4"/>
      <c r="AF94" s="4"/>
      <c r="AG94" s="4"/>
      <c r="AH94" s="4"/>
      <c r="AI94" s="4"/>
      <c r="AJ94" s="4"/>
      <c r="AK94" s="4"/>
      <c r="AL94" s="4"/>
      <c r="AM94" s="4"/>
      <c r="AN94" s="17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27"/>
      <c r="BA94" s="4"/>
      <c r="BB94" s="4"/>
      <c r="BC94" s="4"/>
      <c r="BD94" s="4"/>
      <c r="BE94" s="4"/>
      <c r="BF94" s="27"/>
      <c r="BG94" s="27"/>
      <c r="BH94" s="4"/>
      <c r="BI94" s="4"/>
      <c r="BJ94" s="5">
        <f t="shared" si="5"/>
        <v>0</v>
      </c>
      <c r="BK94" s="41"/>
      <c r="BL94" s="41"/>
      <c r="BM94" s="51"/>
    </row>
    <row r="95" spans="1:65" s="9" customFormat="1" ht="11.25" hidden="1">
      <c r="A95" s="43"/>
      <c r="B95" s="9" t="str">
        <f>"FAXFILM (FÓLIA)"</f>
        <v>FAXFILM (FÓLIA)</v>
      </c>
      <c r="C95" s="9" t="str">
        <f>"PANASONIC KX-FA 54X"</f>
        <v>PANASONIC KX-FA 54X</v>
      </c>
      <c r="D95" s="17"/>
      <c r="E95" s="27"/>
      <c r="F95" s="27"/>
      <c r="G95" s="4"/>
      <c r="H95" s="34"/>
      <c r="I95" s="27"/>
      <c r="J95" s="27"/>
      <c r="K95" s="27"/>
      <c r="L95" s="27"/>
      <c r="M95" s="27"/>
      <c r="N95" s="27"/>
      <c r="O95" s="27"/>
      <c r="P95" s="27"/>
      <c r="Q95" s="4"/>
      <c r="R95" s="4"/>
      <c r="S95" s="4"/>
      <c r="T95" s="4"/>
      <c r="U95" s="4"/>
      <c r="V95" s="4"/>
      <c r="W95" s="27"/>
      <c r="X95" s="27"/>
      <c r="Y95" s="27"/>
      <c r="Z95" s="4"/>
      <c r="AA95" s="4"/>
      <c r="AB95" s="27"/>
      <c r="AC95" s="27"/>
      <c r="AD95" s="10"/>
      <c r="AE95" s="4"/>
      <c r="AF95" s="4"/>
      <c r="AG95" s="4"/>
      <c r="AH95" s="4"/>
      <c r="AI95" s="4"/>
      <c r="AJ95" s="4"/>
      <c r="AK95" s="4"/>
      <c r="AL95" s="4"/>
      <c r="AM95" s="4"/>
      <c r="AN95" s="17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27"/>
      <c r="BA95" s="4"/>
      <c r="BB95" s="4"/>
      <c r="BC95" s="4"/>
      <c r="BD95" s="4"/>
      <c r="BE95" s="4"/>
      <c r="BF95" s="27"/>
      <c r="BG95" s="27"/>
      <c r="BH95" s="4"/>
      <c r="BI95" s="4"/>
      <c r="BJ95" s="5">
        <f t="shared" si="5"/>
        <v>0</v>
      </c>
      <c r="BK95" s="41"/>
      <c r="BL95" s="41"/>
      <c r="BM95" s="51"/>
    </row>
    <row r="96" spans="1:67" s="8" customFormat="1" ht="11.25" hidden="1">
      <c r="A96" s="44"/>
      <c r="B96" s="9" t="str">
        <f>"FELÍRÓTÁBLA"</f>
        <v>FELÍRÓTÁBLA</v>
      </c>
      <c r="C96" s="9" t="str">
        <f>"A/4"</f>
        <v>A/4</v>
      </c>
      <c r="D96" s="21"/>
      <c r="E96" s="28"/>
      <c r="F96" s="28"/>
      <c r="G96" s="5"/>
      <c r="H96" s="34"/>
      <c r="I96" s="28"/>
      <c r="J96" s="28"/>
      <c r="K96" s="28"/>
      <c r="L96" s="28"/>
      <c r="M96" s="28"/>
      <c r="N96" s="28"/>
      <c r="O96" s="28"/>
      <c r="P96" s="28"/>
      <c r="Q96" s="5"/>
      <c r="R96" s="5"/>
      <c r="S96" s="5"/>
      <c r="T96" s="5"/>
      <c r="U96" s="5"/>
      <c r="V96" s="5"/>
      <c r="W96" s="28"/>
      <c r="X96" s="28"/>
      <c r="Y96" s="28"/>
      <c r="Z96" s="5"/>
      <c r="AA96" s="5"/>
      <c r="AB96" s="28"/>
      <c r="AC96" s="28"/>
      <c r="AD96" s="11"/>
      <c r="AE96" s="5"/>
      <c r="AF96" s="5"/>
      <c r="AG96" s="5"/>
      <c r="AH96" s="5"/>
      <c r="AI96" s="5"/>
      <c r="AJ96" s="5"/>
      <c r="AK96" s="5"/>
      <c r="AL96" s="5"/>
      <c r="AM96" s="5"/>
      <c r="AN96" s="17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28"/>
      <c r="BA96" s="5"/>
      <c r="BB96" s="5"/>
      <c r="BC96" s="5"/>
      <c r="BD96" s="5"/>
      <c r="BE96" s="5"/>
      <c r="BF96" s="28"/>
      <c r="BG96" s="28"/>
      <c r="BH96" s="5"/>
      <c r="BI96" s="5"/>
      <c r="BJ96" s="5">
        <f t="shared" si="5"/>
        <v>0</v>
      </c>
      <c r="BK96" s="42"/>
      <c r="BL96" s="42"/>
      <c r="BM96" s="13"/>
      <c r="BO96" s="9"/>
    </row>
    <row r="97" spans="1:65" s="9" customFormat="1" ht="11.25" hidden="1">
      <c r="A97" s="43"/>
      <c r="B97" s="9" t="str">
        <f>"FELTÉTEL MEGHATÁROZÁS ALKALOMSZERŰ"</f>
        <v>FELTÉTEL MEGHATÁROZÁS ALKALOMSZERŰ</v>
      </c>
      <c r="C97" s="9" t="str">
        <f>"TŰZVESZÉLYES TEVÉKENYSÉG VÉGZÉSÉHEZ"</f>
        <v>TŰZVESZÉLYES TEVÉKENYSÉG VÉGZÉSÉHEZ</v>
      </c>
      <c r="D97" s="17"/>
      <c r="E97" s="27"/>
      <c r="F97" s="27"/>
      <c r="G97" s="4"/>
      <c r="H97" s="34"/>
      <c r="I97" s="27"/>
      <c r="J97" s="27"/>
      <c r="K97" s="27"/>
      <c r="L97" s="27"/>
      <c r="M97" s="27"/>
      <c r="N97" s="27"/>
      <c r="O97" s="27"/>
      <c r="P97" s="27"/>
      <c r="Q97" s="4"/>
      <c r="R97" s="4"/>
      <c r="S97" s="4"/>
      <c r="T97" s="4"/>
      <c r="U97" s="4"/>
      <c r="V97" s="4"/>
      <c r="W97" s="27"/>
      <c r="X97" s="27"/>
      <c r="Y97" s="27"/>
      <c r="Z97" s="4"/>
      <c r="AA97" s="4"/>
      <c r="AB97" s="27"/>
      <c r="AC97" s="27"/>
      <c r="AD97" s="10"/>
      <c r="AE97" s="4"/>
      <c r="AF97" s="4"/>
      <c r="AG97" s="4"/>
      <c r="AH97" s="4"/>
      <c r="AI97" s="4"/>
      <c r="AJ97" s="4"/>
      <c r="AK97" s="4"/>
      <c r="AL97" s="4"/>
      <c r="AM97" s="4"/>
      <c r="AN97" s="17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27"/>
      <c r="BA97" s="4"/>
      <c r="BB97" s="4"/>
      <c r="BC97" s="4"/>
      <c r="BD97" s="4"/>
      <c r="BE97" s="4"/>
      <c r="BF97" s="27"/>
      <c r="BG97" s="27"/>
      <c r="BH97" s="4"/>
      <c r="BI97" s="4"/>
      <c r="BJ97" s="5">
        <f t="shared" si="5"/>
        <v>0</v>
      </c>
      <c r="BK97" s="41"/>
      <c r="BL97" s="41"/>
      <c r="BM97" s="51"/>
    </row>
    <row r="98" spans="1:67" s="9" customFormat="1" ht="11.25" hidden="1">
      <c r="A98" s="43"/>
      <c r="B98" s="9" t="str">
        <f>"FELVÁSÁRLÁSI JEGY"</f>
        <v>FELVÁSÁRLÁSI JEGY</v>
      </c>
      <c r="D98" s="17"/>
      <c r="E98" s="27"/>
      <c r="F98" s="27"/>
      <c r="G98" s="4"/>
      <c r="H98" s="34"/>
      <c r="I98" s="27"/>
      <c r="J98" s="27"/>
      <c r="K98" s="27"/>
      <c r="L98" s="27"/>
      <c r="M98" s="27"/>
      <c r="N98" s="27"/>
      <c r="O98" s="27"/>
      <c r="P98" s="27"/>
      <c r="Q98" s="4"/>
      <c r="R98" s="4"/>
      <c r="S98" s="4"/>
      <c r="T98" s="4"/>
      <c r="U98" s="4"/>
      <c r="V98" s="4"/>
      <c r="W98" s="27"/>
      <c r="X98" s="27"/>
      <c r="Y98" s="27"/>
      <c r="Z98" s="4"/>
      <c r="AA98" s="4"/>
      <c r="AB98" s="27"/>
      <c r="AC98" s="27"/>
      <c r="AD98" s="10"/>
      <c r="AE98" s="4"/>
      <c r="AF98" s="4"/>
      <c r="AG98" s="4"/>
      <c r="AH98" s="4"/>
      <c r="AI98" s="4"/>
      <c r="AJ98" s="4"/>
      <c r="AK98" s="4"/>
      <c r="AL98" s="4"/>
      <c r="AM98" s="4"/>
      <c r="AN98" s="17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27"/>
      <c r="BA98" s="4"/>
      <c r="BB98" s="4"/>
      <c r="BC98" s="4"/>
      <c r="BD98" s="4"/>
      <c r="BE98" s="4"/>
      <c r="BF98" s="27"/>
      <c r="BG98" s="27"/>
      <c r="BH98" s="4"/>
      <c r="BI98" s="4"/>
      <c r="BJ98" s="5">
        <f t="shared" si="5"/>
        <v>0</v>
      </c>
      <c r="BK98" s="41"/>
      <c r="BL98" s="41"/>
      <c r="BM98" s="51"/>
      <c r="BO98" s="8"/>
    </row>
    <row r="99" spans="1:65" s="8" customFormat="1" ht="11.25" hidden="1">
      <c r="A99" s="44"/>
      <c r="B99" s="9" t="str">
        <f>"FÉNYMÁSOLÓ PAPÍR (CANON)"</f>
        <v>FÉNYMÁSOLÓ PAPÍR (CANON)</v>
      </c>
      <c r="C99" s="9" t="str">
        <f>"A/4 (80 GRAMM)"</f>
        <v>A/4 (80 GRAMM)</v>
      </c>
      <c r="D99" s="21"/>
      <c r="E99" s="28"/>
      <c r="F99" s="28"/>
      <c r="G99" s="5"/>
      <c r="H99" s="34"/>
      <c r="I99" s="28"/>
      <c r="J99" s="28"/>
      <c r="K99" s="28"/>
      <c r="L99" s="28"/>
      <c r="M99" s="28"/>
      <c r="N99" s="28"/>
      <c r="O99" s="28"/>
      <c r="P99" s="28"/>
      <c r="Q99" s="5"/>
      <c r="R99" s="5"/>
      <c r="S99" s="5"/>
      <c r="T99" s="5"/>
      <c r="U99" s="5"/>
      <c r="V99" s="5"/>
      <c r="W99" s="28"/>
      <c r="X99" s="28"/>
      <c r="Y99" s="28"/>
      <c r="Z99" s="5"/>
      <c r="AA99" s="5"/>
      <c r="AB99" s="28"/>
      <c r="AC99" s="28"/>
      <c r="AD99" s="11"/>
      <c r="AE99" s="5"/>
      <c r="AF99" s="5"/>
      <c r="AG99" s="5"/>
      <c r="AH99" s="5"/>
      <c r="AI99" s="5"/>
      <c r="AJ99" s="5"/>
      <c r="AK99" s="5"/>
      <c r="AL99" s="5"/>
      <c r="AM99" s="5"/>
      <c r="AN99" s="17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28"/>
      <c r="BA99" s="5"/>
      <c r="BB99" s="5"/>
      <c r="BC99" s="5"/>
      <c r="BD99" s="5"/>
      <c r="BE99" s="5"/>
      <c r="BF99" s="28"/>
      <c r="BG99" s="28"/>
      <c r="BH99" s="5"/>
      <c r="BI99" s="5"/>
      <c r="BJ99" s="5">
        <f t="shared" si="5"/>
        <v>0</v>
      </c>
      <c r="BK99" s="42"/>
      <c r="BL99" s="42"/>
      <c r="BM99" s="13"/>
    </row>
    <row r="100" spans="1:65" s="8" customFormat="1" ht="11.25" hidden="1">
      <c r="A100" s="44"/>
      <c r="B100" s="9" t="str">
        <f>"FÉNYMÁSOLÓ PAPÍR (CLAIREFONTAINE)"</f>
        <v>FÉNYMÁSOLÓ PAPÍR (CLAIREFONTAINE)</v>
      </c>
      <c r="C100" s="9" t="str">
        <f>"A/4"</f>
        <v>A/4</v>
      </c>
      <c r="D100" s="21"/>
      <c r="E100" s="28"/>
      <c r="F100" s="28"/>
      <c r="G100" s="5"/>
      <c r="H100" s="34"/>
      <c r="I100" s="28"/>
      <c r="J100" s="28"/>
      <c r="K100" s="28"/>
      <c r="L100" s="28"/>
      <c r="M100" s="28"/>
      <c r="N100" s="28"/>
      <c r="O100" s="28"/>
      <c r="P100" s="28"/>
      <c r="Q100" s="5"/>
      <c r="R100" s="5"/>
      <c r="S100" s="5"/>
      <c r="T100" s="5"/>
      <c r="U100" s="5"/>
      <c r="V100" s="5"/>
      <c r="W100" s="28"/>
      <c r="X100" s="28"/>
      <c r="Y100" s="28"/>
      <c r="Z100" s="5"/>
      <c r="AA100" s="5"/>
      <c r="AB100" s="28"/>
      <c r="AC100" s="28"/>
      <c r="AD100" s="11"/>
      <c r="AE100" s="5"/>
      <c r="AF100" s="5"/>
      <c r="AG100" s="5"/>
      <c r="AH100" s="5"/>
      <c r="AI100" s="5"/>
      <c r="AJ100" s="5"/>
      <c r="AK100" s="5"/>
      <c r="AL100" s="5"/>
      <c r="AM100" s="5"/>
      <c r="AN100" s="17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28"/>
      <c r="BA100" s="5"/>
      <c r="BB100" s="5"/>
      <c r="BC100" s="5"/>
      <c r="BD100" s="5"/>
      <c r="BE100" s="5"/>
      <c r="BF100" s="28"/>
      <c r="BG100" s="28"/>
      <c r="BH100" s="5"/>
      <c r="BI100" s="5"/>
      <c r="BJ100" s="5">
        <f t="shared" si="5"/>
        <v>0</v>
      </c>
      <c r="BK100" s="42"/>
      <c r="BL100" s="42"/>
      <c r="BM100" s="13"/>
    </row>
    <row r="101" spans="1:65" s="8" customFormat="1" ht="11.25" hidden="1">
      <c r="A101" s="44"/>
      <c r="B101" s="9" t="str">
        <f>"FÉNYMÁSOLÓ PAPÍR (IBM)"</f>
        <v>FÉNYMÁSOLÓ PAPÍR (IBM)</v>
      </c>
      <c r="C101" s="9" t="str">
        <f>"A/4 (80 GRAMM)"</f>
        <v>A/4 (80 GRAMM)</v>
      </c>
      <c r="D101" s="21"/>
      <c r="E101" s="28"/>
      <c r="F101" s="28"/>
      <c r="G101" s="5"/>
      <c r="H101" s="34"/>
      <c r="I101" s="28"/>
      <c r="J101" s="28"/>
      <c r="K101" s="28"/>
      <c r="L101" s="28"/>
      <c r="M101" s="28"/>
      <c r="N101" s="28"/>
      <c r="O101" s="28"/>
      <c r="P101" s="28"/>
      <c r="Q101" s="5"/>
      <c r="R101" s="5"/>
      <c r="S101" s="5"/>
      <c r="T101" s="5"/>
      <c r="U101" s="5"/>
      <c r="V101" s="5"/>
      <c r="W101" s="28"/>
      <c r="X101" s="28"/>
      <c r="Y101" s="28"/>
      <c r="Z101" s="5"/>
      <c r="AA101" s="5"/>
      <c r="AB101" s="28"/>
      <c r="AC101" s="28"/>
      <c r="AD101" s="11"/>
      <c r="AE101" s="5"/>
      <c r="AF101" s="5"/>
      <c r="AG101" s="5"/>
      <c r="AH101" s="5"/>
      <c r="AI101" s="5"/>
      <c r="AJ101" s="5"/>
      <c r="AK101" s="5"/>
      <c r="AL101" s="5"/>
      <c r="AM101" s="5"/>
      <c r="AN101" s="17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28"/>
      <c r="BA101" s="5"/>
      <c r="BB101" s="5"/>
      <c r="BC101" s="5"/>
      <c r="BD101" s="5"/>
      <c r="BE101" s="5"/>
      <c r="BF101" s="28"/>
      <c r="BG101" s="28"/>
      <c r="BH101" s="5"/>
      <c r="BI101" s="5"/>
      <c r="BJ101" s="5">
        <f t="shared" si="5"/>
        <v>0</v>
      </c>
      <c r="BK101" s="42"/>
      <c r="BL101" s="42"/>
      <c r="BM101" s="13"/>
    </row>
    <row r="102" spans="1:65" s="8" customFormat="1" ht="11.25" hidden="1">
      <c r="A102" s="44"/>
      <c r="B102" s="9" t="str">
        <f>"FÉNYMÁSOLÓ PAPÍR (REY COPY)"</f>
        <v>FÉNYMÁSOLÓ PAPÍR (REY COPY)</v>
      </c>
      <c r="C102" s="9" t="str">
        <f>"A/3 (80 GRAMM)"</f>
        <v>A/3 (80 GRAMM)</v>
      </c>
      <c r="D102" s="21"/>
      <c r="E102" s="28"/>
      <c r="F102" s="28"/>
      <c r="G102" s="5"/>
      <c r="H102" s="34"/>
      <c r="I102" s="28"/>
      <c r="J102" s="28"/>
      <c r="K102" s="28"/>
      <c r="L102" s="28"/>
      <c r="M102" s="28"/>
      <c r="N102" s="28"/>
      <c r="O102" s="28"/>
      <c r="P102" s="28"/>
      <c r="Q102" s="5"/>
      <c r="R102" s="5"/>
      <c r="S102" s="5"/>
      <c r="T102" s="5"/>
      <c r="U102" s="5"/>
      <c r="V102" s="5"/>
      <c r="W102" s="28"/>
      <c r="X102" s="28"/>
      <c r="Y102" s="28"/>
      <c r="Z102" s="5"/>
      <c r="AA102" s="5"/>
      <c r="AB102" s="28"/>
      <c r="AC102" s="28"/>
      <c r="AD102" s="11"/>
      <c r="AE102" s="5"/>
      <c r="AF102" s="5"/>
      <c r="AG102" s="5"/>
      <c r="AH102" s="5"/>
      <c r="AI102" s="5"/>
      <c r="AJ102" s="5"/>
      <c r="AK102" s="5"/>
      <c r="AL102" s="5"/>
      <c r="AM102" s="5"/>
      <c r="AN102" s="17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28"/>
      <c r="BA102" s="5"/>
      <c r="BB102" s="5"/>
      <c r="BC102" s="5"/>
      <c r="BD102" s="5"/>
      <c r="BE102" s="5"/>
      <c r="BF102" s="28"/>
      <c r="BG102" s="28"/>
      <c r="BH102" s="5"/>
      <c r="BI102" s="5"/>
      <c r="BJ102" s="5">
        <f t="shared" si="5"/>
        <v>0</v>
      </c>
      <c r="BK102" s="42"/>
      <c r="BL102" s="42"/>
      <c r="BM102" s="13"/>
    </row>
    <row r="103" spans="1:65" s="8" customFormat="1" ht="11.25" hidden="1">
      <c r="A103" s="44"/>
      <c r="B103" s="9" t="str">
        <f>"FÉNYMÁSOLÓ PAPÍR (REY COPY)"</f>
        <v>FÉNYMÁSOLÓ PAPÍR (REY COPY)</v>
      </c>
      <c r="C103" s="9" t="str">
        <f>"A/4 (80 GRAMM)"</f>
        <v>A/4 (80 GRAMM)</v>
      </c>
      <c r="D103" s="21"/>
      <c r="E103" s="28"/>
      <c r="F103" s="28"/>
      <c r="G103" s="5"/>
      <c r="H103" s="34"/>
      <c r="I103" s="28"/>
      <c r="J103" s="28"/>
      <c r="K103" s="28"/>
      <c r="L103" s="28"/>
      <c r="M103" s="28"/>
      <c r="N103" s="28"/>
      <c r="O103" s="28"/>
      <c r="P103" s="28"/>
      <c r="Q103" s="5"/>
      <c r="R103" s="5"/>
      <c r="S103" s="5"/>
      <c r="T103" s="5"/>
      <c r="U103" s="5"/>
      <c r="V103" s="5"/>
      <c r="W103" s="28"/>
      <c r="X103" s="28"/>
      <c r="Y103" s="28"/>
      <c r="Z103" s="5"/>
      <c r="AA103" s="5"/>
      <c r="AB103" s="28"/>
      <c r="AC103" s="28"/>
      <c r="AD103" s="11"/>
      <c r="AE103" s="5"/>
      <c r="AF103" s="5"/>
      <c r="AG103" s="5"/>
      <c r="AH103" s="5"/>
      <c r="AI103" s="5"/>
      <c r="AJ103" s="5"/>
      <c r="AK103" s="5"/>
      <c r="AL103" s="5"/>
      <c r="AM103" s="5"/>
      <c r="AN103" s="17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28"/>
      <c r="BA103" s="5"/>
      <c r="BB103" s="5"/>
      <c r="BC103" s="5"/>
      <c r="BD103" s="5"/>
      <c r="BE103" s="5"/>
      <c r="BF103" s="28"/>
      <c r="BG103" s="28"/>
      <c r="BH103" s="5"/>
      <c r="BI103" s="5"/>
      <c r="BJ103" s="5">
        <f t="shared" si="5"/>
        <v>0</v>
      </c>
      <c r="BK103" s="42"/>
      <c r="BL103" s="42"/>
      <c r="BM103" s="13"/>
    </row>
    <row r="104" spans="1:65" s="9" customFormat="1" ht="11.25">
      <c r="A104" s="43" t="s">
        <v>206</v>
      </c>
      <c r="B104" s="9" t="str">
        <f>"DOSSZIÉ (MŰANYAG HÁTLAPOS) FŰZŐS"</f>
        <v>DOSSZIÉ (MŰANYAG HÁTLAPOS) FŰZŐS</v>
      </c>
      <c r="C104" s="9" t="s">
        <v>138</v>
      </c>
      <c r="D104" s="21" t="s">
        <v>22</v>
      </c>
      <c r="E104" s="28"/>
      <c r="F104" s="28"/>
      <c r="G104" s="5">
        <v>5</v>
      </c>
      <c r="H104" s="34"/>
      <c r="I104" s="28"/>
      <c r="J104" s="28">
        <v>10</v>
      </c>
      <c r="K104" s="28"/>
      <c r="L104" s="28"/>
      <c r="M104" s="28"/>
      <c r="N104" s="28"/>
      <c r="O104" s="28"/>
      <c r="P104" s="28"/>
      <c r="Q104" s="5"/>
      <c r="R104" s="5"/>
      <c r="S104" s="5"/>
      <c r="T104" s="5"/>
      <c r="U104" s="5"/>
      <c r="V104" s="5"/>
      <c r="W104" s="28"/>
      <c r="X104" s="28"/>
      <c r="Y104" s="28"/>
      <c r="Z104" s="5"/>
      <c r="AA104" s="5"/>
      <c r="AB104" s="28"/>
      <c r="AC104" s="28"/>
      <c r="AD104" s="11"/>
      <c r="AE104" s="5"/>
      <c r="AF104" s="5"/>
      <c r="AG104" s="5"/>
      <c r="AH104" s="5"/>
      <c r="AI104" s="5"/>
      <c r="AJ104" s="5"/>
      <c r="AK104" s="5"/>
      <c r="AL104" s="5"/>
      <c r="AM104" s="5"/>
      <c r="AN104" s="17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28"/>
      <c r="BA104" s="5"/>
      <c r="BB104" s="5"/>
      <c r="BC104" s="5"/>
      <c r="BD104" s="5"/>
      <c r="BE104" s="5"/>
      <c r="BF104" s="28"/>
      <c r="BG104" s="28"/>
      <c r="BH104" s="5"/>
      <c r="BI104" s="5"/>
      <c r="BJ104" s="5">
        <f t="shared" si="5"/>
        <v>15</v>
      </c>
      <c r="BK104" s="42" t="s">
        <v>22</v>
      </c>
      <c r="BL104" s="42"/>
      <c r="BM104" s="51"/>
    </row>
    <row r="105" spans="1:65" s="9" customFormat="1" ht="11.25" hidden="1">
      <c r="A105" s="43"/>
      <c r="B105" s="9" t="str">
        <f>"FESTÉFHENGER 1220C."</f>
        <v>FESTÉFHENGER 1220C.</v>
      </c>
      <c r="D105" s="17"/>
      <c r="E105" s="27"/>
      <c r="F105" s="27"/>
      <c r="G105" s="4"/>
      <c r="H105" s="34"/>
      <c r="I105" s="27"/>
      <c r="J105" s="27"/>
      <c r="K105" s="27"/>
      <c r="L105" s="27"/>
      <c r="M105" s="27"/>
      <c r="N105" s="27"/>
      <c r="O105" s="27"/>
      <c r="P105" s="27"/>
      <c r="Q105" s="4"/>
      <c r="R105" s="4"/>
      <c r="S105" s="4"/>
      <c r="T105" s="4"/>
      <c r="U105" s="4"/>
      <c r="V105" s="4"/>
      <c r="W105" s="27"/>
      <c r="X105" s="27"/>
      <c r="Y105" s="27"/>
      <c r="Z105" s="4"/>
      <c r="AA105" s="4"/>
      <c r="AB105" s="27"/>
      <c r="AC105" s="27"/>
      <c r="AD105" s="10"/>
      <c r="AE105" s="4"/>
      <c r="AF105" s="4"/>
      <c r="AG105" s="4"/>
      <c r="AH105" s="4"/>
      <c r="AI105" s="4"/>
      <c r="AJ105" s="4"/>
      <c r="AK105" s="4"/>
      <c r="AL105" s="4"/>
      <c r="AM105" s="4"/>
      <c r="AN105" s="17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27"/>
      <c r="BA105" s="4"/>
      <c r="BB105" s="4"/>
      <c r="BC105" s="4"/>
      <c r="BD105" s="4"/>
      <c r="BE105" s="4"/>
      <c r="BF105" s="27"/>
      <c r="BG105" s="27"/>
      <c r="BH105" s="4"/>
      <c r="BI105" s="4"/>
      <c r="BJ105" s="5">
        <f t="shared" si="5"/>
        <v>0</v>
      </c>
      <c r="BK105" s="41"/>
      <c r="BL105" s="41"/>
      <c r="BM105" s="51"/>
    </row>
    <row r="106" spans="1:65" s="9" customFormat="1" ht="11.25" hidden="1">
      <c r="A106" s="43"/>
      <c r="B106" s="9" t="str">
        <f>"FESTÉFHENGER HP 7115"</f>
        <v>FESTÉFHENGER HP 7115</v>
      </c>
      <c r="D106" s="17"/>
      <c r="E106" s="27"/>
      <c r="F106" s="27"/>
      <c r="G106" s="4"/>
      <c r="H106" s="34"/>
      <c r="I106" s="27"/>
      <c r="J106" s="27"/>
      <c r="K106" s="27"/>
      <c r="L106" s="27"/>
      <c r="M106" s="27"/>
      <c r="N106" s="27"/>
      <c r="O106" s="27"/>
      <c r="P106" s="27"/>
      <c r="Q106" s="4"/>
      <c r="R106" s="4"/>
      <c r="S106" s="4"/>
      <c r="T106" s="4"/>
      <c r="U106" s="4"/>
      <c r="V106" s="4"/>
      <c r="W106" s="27"/>
      <c r="X106" s="27"/>
      <c r="Y106" s="27"/>
      <c r="Z106" s="4"/>
      <c r="AA106" s="4"/>
      <c r="AB106" s="27"/>
      <c r="AC106" s="27"/>
      <c r="AD106" s="10"/>
      <c r="AE106" s="4"/>
      <c r="AF106" s="4"/>
      <c r="AG106" s="4"/>
      <c r="AH106" s="4"/>
      <c r="AI106" s="4"/>
      <c r="AJ106" s="4"/>
      <c r="AK106" s="4"/>
      <c r="AL106" s="4"/>
      <c r="AM106" s="4"/>
      <c r="AN106" s="17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27"/>
      <c r="BA106" s="4"/>
      <c r="BB106" s="4"/>
      <c r="BC106" s="4"/>
      <c r="BD106" s="4"/>
      <c r="BE106" s="4"/>
      <c r="BF106" s="27"/>
      <c r="BG106" s="27"/>
      <c r="BH106" s="4"/>
      <c r="BI106" s="4"/>
      <c r="BJ106" s="5">
        <f t="shared" si="5"/>
        <v>0</v>
      </c>
      <c r="BK106" s="41"/>
      <c r="BL106" s="41"/>
      <c r="BM106" s="51"/>
    </row>
    <row r="107" spans="1:65" s="9" customFormat="1" ht="11.25" hidden="1">
      <c r="A107" s="43"/>
      <c r="B107" s="9" t="str">
        <f>"FESTÉKHENGER (720MP 212)"</f>
        <v>FESTÉKHENGER (720MP 212)</v>
      </c>
      <c r="C107" s="9" t="str">
        <f>"SHARP ASZTALI SZÁMOLÓGÉPHEZ"</f>
        <v>SHARP ASZTALI SZÁMOLÓGÉPHEZ</v>
      </c>
      <c r="D107" s="17"/>
      <c r="E107" s="27"/>
      <c r="F107" s="27"/>
      <c r="G107" s="4"/>
      <c r="H107" s="34"/>
      <c r="I107" s="27"/>
      <c r="J107" s="27"/>
      <c r="K107" s="27"/>
      <c r="L107" s="27"/>
      <c r="M107" s="27"/>
      <c r="N107" s="27"/>
      <c r="O107" s="27"/>
      <c r="P107" s="27"/>
      <c r="Q107" s="4"/>
      <c r="R107" s="4"/>
      <c r="S107" s="4"/>
      <c r="T107" s="4"/>
      <c r="U107" s="4"/>
      <c r="V107" s="4"/>
      <c r="W107" s="27"/>
      <c r="X107" s="27"/>
      <c r="Y107" s="27"/>
      <c r="Z107" s="4"/>
      <c r="AA107" s="4"/>
      <c r="AB107" s="27"/>
      <c r="AC107" s="27"/>
      <c r="AD107" s="10"/>
      <c r="AE107" s="4"/>
      <c r="AF107" s="4"/>
      <c r="AG107" s="4"/>
      <c r="AH107" s="4"/>
      <c r="AI107" s="4"/>
      <c r="AJ107" s="4"/>
      <c r="AK107" s="4"/>
      <c r="AL107" s="4"/>
      <c r="AM107" s="4"/>
      <c r="AN107" s="17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27"/>
      <c r="BA107" s="4"/>
      <c r="BB107" s="4"/>
      <c r="BC107" s="4"/>
      <c r="BD107" s="4"/>
      <c r="BE107" s="4"/>
      <c r="BF107" s="27"/>
      <c r="BG107" s="27"/>
      <c r="BH107" s="4"/>
      <c r="BI107" s="4"/>
      <c r="BJ107" s="5">
        <f t="shared" si="5"/>
        <v>0</v>
      </c>
      <c r="BK107" s="41"/>
      <c r="BL107" s="41"/>
      <c r="BM107" s="51"/>
    </row>
    <row r="108" spans="1:65" s="9" customFormat="1" ht="11.25" hidden="1">
      <c r="A108" s="43"/>
      <c r="B108" s="9" t="str">
        <f>"FESTÉKPATRON (150)"</f>
        <v>FESTÉKPATRON (150)</v>
      </c>
      <c r="D108" s="17"/>
      <c r="E108" s="27"/>
      <c r="F108" s="27"/>
      <c r="G108" s="4"/>
      <c r="H108" s="34"/>
      <c r="I108" s="27"/>
      <c r="J108" s="27"/>
      <c r="K108" s="27"/>
      <c r="L108" s="27"/>
      <c r="M108" s="27"/>
      <c r="N108" s="27"/>
      <c r="O108" s="27"/>
      <c r="P108" s="27"/>
      <c r="Q108" s="4"/>
      <c r="R108" s="4"/>
      <c r="S108" s="4"/>
      <c r="T108" s="4"/>
      <c r="U108" s="4"/>
      <c r="V108" s="4"/>
      <c r="W108" s="27"/>
      <c r="X108" s="27"/>
      <c r="Y108" s="27"/>
      <c r="Z108" s="4"/>
      <c r="AA108" s="4"/>
      <c r="AB108" s="27"/>
      <c r="AC108" s="27"/>
      <c r="AD108" s="10"/>
      <c r="AE108" s="4"/>
      <c r="AF108" s="4"/>
      <c r="AG108" s="4"/>
      <c r="AH108" s="4"/>
      <c r="AI108" s="4"/>
      <c r="AJ108" s="4"/>
      <c r="AK108" s="4"/>
      <c r="AL108" s="4"/>
      <c r="AM108" s="4"/>
      <c r="AN108" s="17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27"/>
      <c r="BA108" s="4"/>
      <c r="BB108" s="4"/>
      <c r="BC108" s="4"/>
      <c r="BD108" s="4"/>
      <c r="BE108" s="4"/>
      <c r="BF108" s="27"/>
      <c r="BG108" s="27"/>
      <c r="BH108" s="4"/>
      <c r="BI108" s="4"/>
      <c r="BJ108" s="5">
        <f t="shared" si="5"/>
        <v>0</v>
      </c>
      <c r="BK108" s="41"/>
      <c r="BL108" s="41"/>
      <c r="BM108" s="51"/>
    </row>
    <row r="109" spans="1:65" s="9" customFormat="1" ht="11.25" hidden="1">
      <c r="A109" s="43"/>
      <c r="B109" s="9" t="str">
        <f>"FESTÉKPATRON (CANON BC-02)"</f>
        <v>FESTÉKPATRON (CANON BC-02)</v>
      </c>
      <c r="D109" s="17"/>
      <c r="E109" s="27"/>
      <c r="F109" s="27"/>
      <c r="G109" s="4"/>
      <c r="H109" s="34"/>
      <c r="I109" s="27"/>
      <c r="J109" s="27"/>
      <c r="K109" s="27"/>
      <c r="L109" s="27"/>
      <c r="M109" s="27"/>
      <c r="N109" s="27"/>
      <c r="O109" s="27"/>
      <c r="P109" s="27"/>
      <c r="Q109" s="4"/>
      <c r="R109" s="4"/>
      <c r="S109" s="4"/>
      <c r="T109" s="4"/>
      <c r="U109" s="4"/>
      <c r="V109" s="4"/>
      <c r="W109" s="27"/>
      <c r="X109" s="27"/>
      <c r="Y109" s="27"/>
      <c r="Z109" s="4"/>
      <c r="AA109" s="4"/>
      <c r="AB109" s="27"/>
      <c r="AC109" s="27"/>
      <c r="AD109" s="10"/>
      <c r="AE109" s="4"/>
      <c r="AF109" s="4"/>
      <c r="AG109" s="4"/>
      <c r="AH109" s="4"/>
      <c r="AI109" s="4"/>
      <c r="AJ109" s="4"/>
      <c r="AK109" s="4"/>
      <c r="AL109" s="4"/>
      <c r="AM109" s="4"/>
      <c r="AN109" s="17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27"/>
      <c r="BA109" s="4"/>
      <c r="BB109" s="4"/>
      <c r="BC109" s="4"/>
      <c r="BD109" s="4"/>
      <c r="BE109" s="4"/>
      <c r="BF109" s="27"/>
      <c r="BG109" s="27"/>
      <c r="BH109" s="4"/>
      <c r="BI109" s="4"/>
      <c r="BJ109" s="5">
        <f t="shared" si="5"/>
        <v>0</v>
      </c>
      <c r="BK109" s="41"/>
      <c r="BL109" s="41"/>
      <c r="BM109" s="51"/>
    </row>
    <row r="110" spans="1:65" s="9" customFormat="1" ht="11.25" hidden="1">
      <c r="A110" s="43"/>
      <c r="B110" s="9" t="str">
        <f>"FESTÉKPATRON (CANON BC-02) FEKETE"</f>
        <v>FESTÉKPATRON (CANON BC-02) FEKETE</v>
      </c>
      <c r="D110" s="17"/>
      <c r="E110" s="27"/>
      <c r="F110" s="27"/>
      <c r="G110" s="4"/>
      <c r="H110" s="34"/>
      <c r="I110" s="27"/>
      <c r="J110" s="27"/>
      <c r="K110" s="27"/>
      <c r="L110" s="27"/>
      <c r="M110" s="27"/>
      <c r="N110" s="27"/>
      <c r="O110" s="27"/>
      <c r="P110" s="27"/>
      <c r="Q110" s="4"/>
      <c r="R110" s="4"/>
      <c r="S110" s="4"/>
      <c r="T110" s="4"/>
      <c r="U110" s="4"/>
      <c r="V110" s="4"/>
      <c r="W110" s="27"/>
      <c r="X110" s="27"/>
      <c r="Y110" s="27"/>
      <c r="Z110" s="4"/>
      <c r="AA110" s="4"/>
      <c r="AB110" s="27"/>
      <c r="AC110" s="27"/>
      <c r="AD110" s="10"/>
      <c r="AE110" s="4"/>
      <c r="AF110" s="4"/>
      <c r="AG110" s="4"/>
      <c r="AH110" s="4"/>
      <c r="AI110" s="4"/>
      <c r="AJ110" s="4"/>
      <c r="AK110" s="4"/>
      <c r="AL110" s="4"/>
      <c r="AM110" s="4"/>
      <c r="AN110" s="17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27"/>
      <c r="BA110" s="4"/>
      <c r="BB110" s="4"/>
      <c r="BC110" s="4"/>
      <c r="BD110" s="4"/>
      <c r="BE110" s="4"/>
      <c r="BF110" s="27"/>
      <c r="BG110" s="27"/>
      <c r="BH110" s="4"/>
      <c r="BI110" s="4"/>
      <c r="BJ110" s="5">
        <f t="shared" si="5"/>
        <v>0</v>
      </c>
      <c r="BK110" s="41"/>
      <c r="BL110" s="41"/>
      <c r="BM110" s="51"/>
    </row>
    <row r="111" spans="1:65" s="9" customFormat="1" ht="11.25" hidden="1">
      <c r="A111" s="43"/>
      <c r="B111" s="9" t="str">
        <f>"FESTÉKPATRON (CANON BC-05) SZÍNES"</f>
        <v>FESTÉKPATRON (CANON BC-05) SZÍNES</v>
      </c>
      <c r="D111" s="17"/>
      <c r="E111" s="27"/>
      <c r="F111" s="27"/>
      <c r="G111" s="4"/>
      <c r="H111" s="34"/>
      <c r="I111" s="27"/>
      <c r="J111" s="27"/>
      <c r="K111" s="27"/>
      <c r="L111" s="27"/>
      <c r="M111" s="27"/>
      <c r="N111" s="27"/>
      <c r="O111" s="27"/>
      <c r="P111" s="27"/>
      <c r="Q111" s="4"/>
      <c r="R111" s="4"/>
      <c r="S111" s="4"/>
      <c r="T111" s="4"/>
      <c r="U111" s="4"/>
      <c r="V111" s="4"/>
      <c r="W111" s="27"/>
      <c r="X111" s="27"/>
      <c r="Y111" s="27"/>
      <c r="Z111" s="4"/>
      <c r="AA111" s="4"/>
      <c r="AB111" s="27"/>
      <c r="AC111" s="27"/>
      <c r="AD111" s="10"/>
      <c r="AE111" s="4"/>
      <c r="AF111" s="4"/>
      <c r="AG111" s="4"/>
      <c r="AH111" s="4"/>
      <c r="AI111" s="4"/>
      <c r="AJ111" s="4"/>
      <c r="AK111" s="4"/>
      <c r="AL111" s="4"/>
      <c r="AM111" s="4"/>
      <c r="AN111" s="17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27"/>
      <c r="BA111" s="4"/>
      <c r="BB111" s="4"/>
      <c r="BC111" s="4"/>
      <c r="BD111" s="4"/>
      <c r="BE111" s="4"/>
      <c r="BF111" s="27"/>
      <c r="BG111" s="27"/>
      <c r="BH111" s="4"/>
      <c r="BI111" s="4"/>
      <c r="BJ111" s="5">
        <f t="shared" si="5"/>
        <v>0</v>
      </c>
      <c r="BK111" s="41"/>
      <c r="BL111" s="41"/>
      <c r="BM111" s="51"/>
    </row>
    <row r="112" spans="1:67" s="9" customFormat="1" ht="11.25" hidden="1">
      <c r="A112" s="43"/>
      <c r="B112" s="9" t="str">
        <f>"FESTÉKPATRON (CANON BCI-24)"</f>
        <v>FESTÉKPATRON (CANON BCI-24)</v>
      </c>
      <c r="D112" s="17"/>
      <c r="E112" s="27"/>
      <c r="F112" s="27"/>
      <c r="G112" s="4"/>
      <c r="H112" s="34"/>
      <c r="I112" s="27"/>
      <c r="J112" s="27"/>
      <c r="K112" s="27"/>
      <c r="L112" s="27"/>
      <c r="M112" s="27"/>
      <c r="N112" s="27"/>
      <c r="O112" s="27"/>
      <c r="P112" s="27"/>
      <c r="Q112" s="4"/>
      <c r="R112" s="4"/>
      <c r="S112" s="4"/>
      <c r="T112" s="4"/>
      <c r="U112" s="4"/>
      <c r="V112" s="4"/>
      <c r="W112" s="27"/>
      <c r="X112" s="27"/>
      <c r="Y112" s="27"/>
      <c r="Z112" s="4"/>
      <c r="AA112" s="4"/>
      <c r="AB112" s="27"/>
      <c r="AC112" s="27"/>
      <c r="AD112" s="10"/>
      <c r="AE112" s="4"/>
      <c r="AF112" s="4"/>
      <c r="AG112" s="4"/>
      <c r="AH112" s="4"/>
      <c r="AI112" s="4"/>
      <c r="AJ112" s="4"/>
      <c r="AK112" s="4"/>
      <c r="AL112" s="4"/>
      <c r="AM112" s="4"/>
      <c r="AN112" s="17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27"/>
      <c r="BA112" s="4"/>
      <c r="BB112" s="4"/>
      <c r="BC112" s="4"/>
      <c r="BD112" s="4"/>
      <c r="BE112" s="4"/>
      <c r="BF112" s="27"/>
      <c r="BG112" s="27"/>
      <c r="BH112" s="4"/>
      <c r="BI112" s="4"/>
      <c r="BJ112" s="5">
        <f t="shared" si="5"/>
        <v>0</v>
      </c>
      <c r="BK112" s="41"/>
      <c r="BL112" s="41"/>
      <c r="BM112" s="51"/>
      <c r="BO112" s="8"/>
    </row>
    <row r="113" spans="1:65" s="8" customFormat="1" ht="11.25" hidden="1">
      <c r="A113" s="44"/>
      <c r="B113" s="9" t="str">
        <f>"FOTÓALBUM"</f>
        <v>FOTÓALBUM</v>
      </c>
      <c r="C113" s="9"/>
      <c r="D113" s="21"/>
      <c r="E113" s="28"/>
      <c r="F113" s="28"/>
      <c r="G113" s="5"/>
      <c r="H113" s="34"/>
      <c r="I113" s="28"/>
      <c r="J113" s="28"/>
      <c r="K113" s="28"/>
      <c r="L113" s="28"/>
      <c r="M113" s="28"/>
      <c r="N113" s="28"/>
      <c r="O113" s="28"/>
      <c r="P113" s="28"/>
      <c r="Q113" s="5"/>
      <c r="R113" s="5"/>
      <c r="S113" s="5"/>
      <c r="T113" s="5"/>
      <c r="U113" s="5"/>
      <c r="V113" s="5"/>
      <c r="W113" s="28"/>
      <c r="X113" s="28"/>
      <c r="Y113" s="28"/>
      <c r="Z113" s="5"/>
      <c r="AA113" s="5"/>
      <c r="AB113" s="28"/>
      <c r="AC113" s="28"/>
      <c r="AD113" s="11"/>
      <c r="AE113" s="5"/>
      <c r="AF113" s="5"/>
      <c r="AG113" s="5"/>
      <c r="AH113" s="5"/>
      <c r="AI113" s="5"/>
      <c r="AJ113" s="5"/>
      <c r="AK113" s="5"/>
      <c r="AL113" s="5"/>
      <c r="AM113" s="5"/>
      <c r="AN113" s="17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28"/>
      <c r="BA113" s="5"/>
      <c r="BB113" s="5"/>
      <c r="BC113" s="5"/>
      <c r="BD113" s="5"/>
      <c r="BE113" s="5"/>
      <c r="BF113" s="28"/>
      <c r="BG113" s="28"/>
      <c r="BH113" s="5"/>
      <c r="BI113" s="5"/>
      <c r="BJ113" s="5">
        <f t="shared" si="5"/>
        <v>0</v>
      </c>
      <c r="BK113" s="42"/>
      <c r="BL113" s="42"/>
      <c r="BM113" s="13"/>
    </row>
    <row r="114" spans="1:65" s="8" customFormat="1" ht="11.25" hidden="1">
      <c r="A114" s="44"/>
      <c r="B114" s="9" t="str">
        <f>"FOTÓPAPÍR (EPSON PHOTO QUALITY)"</f>
        <v>FOTÓPAPÍR (EPSON PHOTO QUALITY)</v>
      </c>
      <c r="C114" s="9" t="str">
        <f>"A/4 (102GR/M2) 100DB-OS"</f>
        <v>A/4 (102GR/M2) 100DB-OS</v>
      </c>
      <c r="D114" s="21"/>
      <c r="E114" s="28"/>
      <c r="F114" s="28"/>
      <c r="G114" s="5"/>
      <c r="H114" s="34"/>
      <c r="I114" s="28"/>
      <c r="J114" s="28"/>
      <c r="K114" s="28"/>
      <c r="L114" s="28"/>
      <c r="M114" s="28"/>
      <c r="N114" s="28"/>
      <c r="O114" s="28"/>
      <c r="P114" s="28"/>
      <c r="Q114" s="5"/>
      <c r="R114" s="5"/>
      <c r="S114" s="5"/>
      <c r="T114" s="5"/>
      <c r="U114" s="5"/>
      <c r="V114" s="5"/>
      <c r="W114" s="28"/>
      <c r="X114" s="28"/>
      <c r="Y114" s="28"/>
      <c r="Z114" s="5"/>
      <c r="AA114" s="5"/>
      <c r="AB114" s="28"/>
      <c r="AC114" s="28"/>
      <c r="AD114" s="11"/>
      <c r="AE114" s="5"/>
      <c r="AF114" s="5"/>
      <c r="AG114" s="5"/>
      <c r="AH114" s="5"/>
      <c r="AI114" s="5"/>
      <c r="AJ114" s="5"/>
      <c r="AK114" s="5"/>
      <c r="AL114" s="5"/>
      <c r="AM114" s="5"/>
      <c r="AN114" s="17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28"/>
      <c r="BA114" s="5"/>
      <c r="BB114" s="5"/>
      <c r="BC114" s="5"/>
      <c r="BD114" s="5"/>
      <c r="BE114" s="5"/>
      <c r="BF114" s="28"/>
      <c r="BG114" s="28"/>
      <c r="BH114" s="5"/>
      <c r="BI114" s="5"/>
      <c r="BJ114" s="5">
        <f t="shared" si="5"/>
        <v>0</v>
      </c>
      <c r="BK114" s="42"/>
      <c r="BL114" s="42"/>
      <c r="BM114" s="13"/>
    </row>
    <row r="115" spans="1:65" s="8" customFormat="1" ht="11.25" hidden="1">
      <c r="A115" s="44"/>
      <c r="B115" s="9" t="str">
        <f>"FOTÓPAPÍR (HP)"</f>
        <v>FOTÓPAPÍR (HP)</v>
      </c>
      <c r="C115" s="9" t="str">
        <f>"A/4"</f>
        <v>A/4</v>
      </c>
      <c r="D115" s="21"/>
      <c r="E115" s="28"/>
      <c r="F115" s="28"/>
      <c r="G115" s="5"/>
      <c r="H115" s="34"/>
      <c r="I115" s="28"/>
      <c r="J115" s="28"/>
      <c r="K115" s="28"/>
      <c r="L115" s="28"/>
      <c r="M115" s="28"/>
      <c r="N115" s="28"/>
      <c r="O115" s="28"/>
      <c r="P115" s="28"/>
      <c r="Q115" s="5"/>
      <c r="R115" s="5"/>
      <c r="S115" s="5"/>
      <c r="T115" s="5"/>
      <c r="U115" s="5"/>
      <c r="V115" s="5"/>
      <c r="W115" s="28"/>
      <c r="X115" s="28"/>
      <c r="Y115" s="28"/>
      <c r="Z115" s="5"/>
      <c r="AA115" s="5"/>
      <c r="AB115" s="28"/>
      <c r="AC115" s="28"/>
      <c r="AD115" s="11"/>
      <c r="AE115" s="5"/>
      <c r="AF115" s="5"/>
      <c r="AG115" s="5"/>
      <c r="AH115" s="5"/>
      <c r="AI115" s="5"/>
      <c r="AJ115" s="5"/>
      <c r="AK115" s="5"/>
      <c r="AL115" s="5"/>
      <c r="AM115" s="5"/>
      <c r="AN115" s="17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28"/>
      <c r="BA115" s="5"/>
      <c r="BB115" s="5"/>
      <c r="BC115" s="5"/>
      <c r="BD115" s="5"/>
      <c r="BE115" s="5"/>
      <c r="BF115" s="28"/>
      <c r="BG115" s="28"/>
      <c r="BH115" s="5"/>
      <c r="BI115" s="5"/>
      <c r="BJ115" s="5">
        <f t="shared" si="5"/>
        <v>0</v>
      </c>
      <c r="BK115" s="42"/>
      <c r="BL115" s="42"/>
      <c r="BM115" s="13"/>
    </row>
    <row r="116" spans="1:65" s="8" customFormat="1" ht="11.25" hidden="1">
      <c r="A116" s="44"/>
      <c r="B116" s="9" t="str">
        <f>"FOTÓPAPÍR (HP)"</f>
        <v>FOTÓPAPÍR (HP)</v>
      </c>
      <c r="C116" s="9" t="str">
        <f>"A/4"</f>
        <v>A/4</v>
      </c>
      <c r="D116" s="21"/>
      <c r="E116" s="28"/>
      <c r="F116" s="28"/>
      <c r="G116" s="5"/>
      <c r="H116" s="34"/>
      <c r="I116" s="28"/>
      <c r="J116" s="28"/>
      <c r="K116" s="28"/>
      <c r="L116" s="28"/>
      <c r="M116" s="28"/>
      <c r="N116" s="28"/>
      <c r="O116" s="28"/>
      <c r="P116" s="28"/>
      <c r="Q116" s="5"/>
      <c r="R116" s="5"/>
      <c r="S116" s="5"/>
      <c r="T116" s="5"/>
      <c r="U116" s="5"/>
      <c r="V116" s="5"/>
      <c r="W116" s="28"/>
      <c r="X116" s="28"/>
      <c r="Y116" s="28"/>
      <c r="Z116" s="5"/>
      <c r="AA116" s="5"/>
      <c r="AB116" s="28"/>
      <c r="AC116" s="28"/>
      <c r="AD116" s="11"/>
      <c r="AE116" s="5"/>
      <c r="AF116" s="5"/>
      <c r="AG116" s="5"/>
      <c r="AH116" s="5"/>
      <c r="AI116" s="5"/>
      <c r="AJ116" s="5"/>
      <c r="AK116" s="5"/>
      <c r="AL116" s="5"/>
      <c r="AM116" s="5"/>
      <c r="AN116" s="17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28"/>
      <c r="BA116" s="5"/>
      <c r="BB116" s="5"/>
      <c r="BC116" s="5"/>
      <c r="BD116" s="5"/>
      <c r="BE116" s="5"/>
      <c r="BF116" s="28"/>
      <c r="BG116" s="28"/>
      <c r="BH116" s="5"/>
      <c r="BI116" s="5"/>
      <c r="BJ116" s="5">
        <f t="shared" si="5"/>
        <v>0</v>
      </c>
      <c r="BK116" s="42"/>
      <c r="BL116" s="42"/>
      <c r="BM116" s="13"/>
    </row>
    <row r="117" spans="1:65" s="8" customFormat="1" ht="11.25" hidden="1">
      <c r="A117" s="44"/>
      <c r="B117" s="9" t="str">
        <f>"FRANCIAKOCKÁS LAP"</f>
        <v>FRANCIAKOCKÁS LAP</v>
      </c>
      <c r="C117" s="9" t="str">
        <f>"A/3"</f>
        <v>A/3</v>
      </c>
      <c r="D117" s="21"/>
      <c r="E117" s="28"/>
      <c r="F117" s="28"/>
      <c r="G117" s="5"/>
      <c r="H117" s="34"/>
      <c r="I117" s="28"/>
      <c r="J117" s="28"/>
      <c r="K117" s="28"/>
      <c r="L117" s="28"/>
      <c r="M117" s="28"/>
      <c r="N117" s="28"/>
      <c r="O117" s="28"/>
      <c r="P117" s="28"/>
      <c r="Q117" s="5"/>
      <c r="R117" s="5"/>
      <c r="S117" s="5"/>
      <c r="T117" s="5"/>
      <c r="U117" s="5"/>
      <c r="V117" s="5"/>
      <c r="W117" s="28"/>
      <c r="X117" s="28"/>
      <c r="Y117" s="28"/>
      <c r="Z117" s="5"/>
      <c r="AA117" s="5"/>
      <c r="AB117" s="28"/>
      <c r="AC117" s="28"/>
      <c r="AD117" s="11"/>
      <c r="AE117" s="5"/>
      <c r="AF117" s="5"/>
      <c r="AG117" s="5"/>
      <c r="AH117" s="5"/>
      <c r="AI117" s="5"/>
      <c r="AJ117" s="5"/>
      <c r="AK117" s="5"/>
      <c r="AL117" s="5"/>
      <c r="AM117" s="5"/>
      <c r="AN117" s="17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28"/>
      <c r="BA117" s="5"/>
      <c r="BB117" s="5"/>
      <c r="BC117" s="5"/>
      <c r="BD117" s="5"/>
      <c r="BE117" s="5"/>
      <c r="BF117" s="28"/>
      <c r="BG117" s="28"/>
      <c r="BH117" s="5"/>
      <c r="BI117" s="5"/>
      <c r="BJ117" s="5">
        <f t="shared" si="5"/>
        <v>0</v>
      </c>
      <c r="BK117" s="42"/>
      <c r="BL117" s="42"/>
      <c r="BM117" s="13"/>
    </row>
    <row r="118" spans="1:67" s="8" customFormat="1" ht="11.25" hidden="1">
      <c r="A118" s="44"/>
      <c r="B118" s="9" t="str">
        <f>"FRANCIAKOCKÁS LAP (RASZTER RÁCSOS)"</f>
        <v>FRANCIAKOCKÁS LAP (RASZTER RÁCSOS)</v>
      </c>
      <c r="C118" s="9" t="str">
        <f>"A/4"</f>
        <v>A/4</v>
      </c>
      <c r="D118" s="21"/>
      <c r="E118" s="28"/>
      <c r="F118" s="28"/>
      <c r="G118" s="5"/>
      <c r="H118" s="34"/>
      <c r="I118" s="28"/>
      <c r="J118" s="28"/>
      <c r="K118" s="28"/>
      <c r="L118" s="28"/>
      <c r="M118" s="28"/>
      <c r="N118" s="28"/>
      <c r="O118" s="28"/>
      <c r="P118" s="28"/>
      <c r="Q118" s="5"/>
      <c r="R118" s="5"/>
      <c r="S118" s="5"/>
      <c r="T118" s="5"/>
      <c r="U118" s="5"/>
      <c r="V118" s="5"/>
      <c r="W118" s="28"/>
      <c r="X118" s="28"/>
      <c r="Y118" s="28"/>
      <c r="Z118" s="5"/>
      <c r="AA118" s="5"/>
      <c r="AB118" s="28"/>
      <c r="AC118" s="28"/>
      <c r="AD118" s="11"/>
      <c r="AE118" s="5"/>
      <c r="AF118" s="5"/>
      <c r="AG118" s="5"/>
      <c r="AH118" s="5"/>
      <c r="AI118" s="5"/>
      <c r="AJ118" s="5"/>
      <c r="AK118" s="5"/>
      <c r="AL118" s="5"/>
      <c r="AM118" s="5"/>
      <c r="AN118" s="17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28"/>
      <c r="BA118" s="5"/>
      <c r="BB118" s="5"/>
      <c r="BC118" s="5"/>
      <c r="BD118" s="5"/>
      <c r="BE118" s="5"/>
      <c r="BF118" s="28"/>
      <c r="BG118" s="28"/>
      <c r="BH118" s="5"/>
      <c r="BI118" s="5"/>
      <c r="BJ118" s="5">
        <f t="shared" si="5"/>
        <v>0</v>
      </c>
      <c r="BK118" s="42"/>
      <c r="BL118" s="42"/>
      <c r="BM118" s="13"/>
      <c r="BO118" s="9"/>
    </row>
    <row r="119" spans="1:65" s="8" customFormat="1" ht="11.25">
      <c r="A119" s="44" t="s">
        <v>207</v>
      </c>
      <c r="B119" s="9" t="str">
        <f>"DOSSZIÉ (MŰANYAG HÁTLAPOS) FŰZŐS"</f>
        <v>DOSSZIÉ (MŰANYAG HÁTLAPOS) FŰZŐS</v>
      </c>
      <c r="C119" s="9" t="s">
        <v>141</v>
      </c>
      <c r="D119" s="21" t="s">
        <v>22</v>
      </c>
      <c r="E119" s="28"/>
      <c r="F119" s="28"/>
      <c r="G119" s="5"/>
      <c r="H119" s="34"/>
      <c r="I119" s="28"/>
      <c r="J119" s="28">
        <v>10</v>
      </c>
      <c r="K119" s="28"/>
      <c r="L119" s="28"/>
      <c r="M119" s="28"/>
      <c r="N119" s="28"/>
      <c r="O119" s="28"/>
      <c r="P119" s="28"/>
      <c r="Q119" s="5">
        <v>50</v>
      </c>
      <c r="R119" s="5"/>
      <c r="S119" s="5"/>
      <c r="T119" s="5"/>
      <c r="U119" s="5"/>
      <c r="V119" s="5"/>
      <c r="W119" s="28"/>
      <c r="X119" s="28"/>
      <c r="Y119" s="28"/>
      <c r="Z119" s="5"/>
      <c r="AA119" s="5"/>
      <c r="AB119" s="28"/>
      <c r="AC119" s="28"/>
      <c r="AD119" s="11"/>
      <c r="AE119" s="5"/>
      <c r="AF119" s="5"/>
      <c r="AG119" s="5"/>
      <c r="AH119" s="5"/>
      <c r="AI119" s="5"/>
      <c r="AJ119" s="5"/>
      <c r="AK119" s="5"/>
      <c r="AL119" s="5"/>
      <c r="AM119" s="5"/>
      <c r="AN119" s="17"/>
      <c r="AO119" s="5"/>
      <c r="AP119" s="5"/>
      <c r="AQ119" s="5"/>
      <c r="AR119" s="5"/>
      <c r="AS119" s="5">
        <v>5</v>
      </c>
      <c r="AT119" s="5"/>
      <c r="AU119" s="5"/>
      <c r="AV119" s="5"/>
      <c r="AW119" s="5">
        <v>4</v>
      </c>
      <c r="AX119" s="5"/>
      <c r="AY119" s="5"/>
      <c r="AZ119" s="28"/>
      <c r="BA119" s="5"/>
      <c r="BB119" s="5"/>
      <c r="BC119" s="5"/>
      <c r="BD119" s="5"/>
      <c r="BE119" s="5"/>
      <c r="BF119" s="28"/>
      <c r="BG119" s="28"/>
      <c r="BH119" s="5"/>
      <c r="BI119" s="5"/>
      <c r="BJ119" s="5">
        <f t="shared" si="5"/>
        <v>69</v>
      </c>
      <c r="BK119" s="42" t="s">
        <v>22</v>
      </c>
      <c r="BL119" s="42"/>
      <c r="BM119" s="13"/>
    </row>
    <row r="120" spans="1:65" s="8" customFormat="1" ht="11.25" hidden="1">
      <c r="A120" s="44"/>
      <c r="B120" s="9" t="str">
        <f>"DOSSZIÉ (MŰANYAG HÁTLAPOS) FŰZŐS"</f>
        <v>DOSSZIÉ (MŰANYAG HÁTLAPOS) FŰZŐS</v>
      </c>
      <c r="C120" s="9" t="str">
        <f>"A/4"</f>
        <v>A/4</v>
      </c>
      <c r="D120" s="21" t="s">
        <v>22</v>
      </c>
      <c r="E120" s="28"/>
      <c r="F120" s="28"/>
      <c r="G120" s="5"/>
      <c r="H120" s="34"/>
      <c r="I120" s="28"/>
      <c r="J120" s="28"/>
      <c r="K120" s="28"/>
      <c r="L120" s="28"/>
      <c r="M120" s="28"/>
      <c r="N120" s="28"/>
      <c r="O120" s="28"/>
      <c r="P120" s="28"/>
      <c r="Q120" s="5"/>
      <c r="R120" s="5"/>
      <c r="S120" s="5"/>
      <c r="T120" s="5"/>
      <c r="U120" s="5"/>
      <c r="V120" s="5"/>
      <c r="W120" s="28"/>
      <c r="X120" s="28"/>
      <c r="Y120" s="28"/>
      <c r="Z120" s="5"/>
      <c r="AA120" s="5"/>
      <c r="AB120" s="28"/>
      <c r="AC120" s="28"/>
      <c r="AD120" s="11"/>
      <c r="AE120" s="5"/>
      <c r="AF120" s="5"/>
      <c r="AG120" s="5"/>
      <c r="AH120" s="5"/>
      <c r="AI120" s="5"/>
      <c r="AJ120" s="5"/>
      <c r="AK120" s="5"/>
      <c r="AL120" s="5"/>
      <c r="AM120" s="5"/>
      <c r="AN120" s="17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28"/>
      <c r="BA120" s="5"/>
      <c r="BB120" s="5"/>
      <c r="BC120" s="5"/>
      <c r="BD120" s="5"/>
      <c r="BE120" s="5"/>
      <c r="BF120" s="28"/>
      <c r="BG120" s="28"/>
      <c r="BH120" s="5"/>
      <c r="BI120" s="5"/>
      <c r="BJ120" s="5">
        <f t="shared" si="5"/>
        <v>0</v>
      </c>
      <c r="BK120" s="42" t="s">
        <v>22</v>
      </c>
      <c r="BL120" s="42"/>
      <c r="BM120" s="13"/>
    </row>
    <row r="121" spans="1:65" s="8" customFormat="1" ht="11.25">
      <c r="A121" s="44" t="s">
        <v>208</v>
      </c>
      <c r="B121" s="9" t="str">
        <f>"DOSSZIÉ (MŰANYAG HÁTLAPOS) FŰZŐS"</f>
        <v>DOSSZIÉ (MŰANYAG HÁTLAPOS) FŰZŐS</v>
      </c>
      <c r="C121" s="9" t="s">
        <v>139</v>
      </c>
      <c r="D121" s="21" t="s">
        <v>22</v>
      </c>
      <c r="E121" s="28"/>
      <c r="F121" s="28"/>
      <c r="G121" s="5">
        <v>5</v>
      </c>
      <c r="H121" s="34"/>
      <c r="I121" s="28"/>
      <c r="J121" s="28"/>
      <c r="K121" s="28"/>
      <c r="L121" s="28"/>
      <c r="M121" s="28"/>
      <c r="N121" s="28"/>
      <c r="O121" s="28"/>
      <c r="P121" s="28"/>
      <c r="Q121" s="5"/>
      <c r="R121" s="5"/>
      <c r="S121" s="5"/>
      <c r="T121" s="5"/>
      <c r="U121" s="5"/>
      <c r="V121" s="5"/>
      <c r="W121" s="28"/>
      <c r="X121" s="28"/>
      <c r="Y121" s="28"/>
      <c r="Z121" s="5"/>
      <c r="AA121" s="5"/>
      <c r="AB121" s="28"/>
      <c r="AC121" s="28"/>
      <c r="AD121" s="11"/>
      <c r="AE121" s="5"/>
      <c r="AF121" s="5"/>
      <c r="AG121" s="5"/>
      <c r="AH121" s="5"/>
      <c r="AI121" s="5"/>
      <c r="AJ121" s="5"/>
      <c r="AK121" s="5"/>
      <c r="AL121" s="5"/>
      <c r="AM121" s="5"/>
      <c r="AN121" s="17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28"/>
      <c r="BA121" s="5"/>
      <c r="BB121" s="5"/>
      <c r="BC121" s="5"/>
      <c r="BD121" s="5"/>
      <c r="BE121" s="5"/>
      <c r="BF121" s="28"/>
      <c r="BG121" s="28"/>
      <c r="BH121" s="5"/>
      <c r="BI121" s="5"/>
      <c r="BJ121" s="5">
        <f t="shared" si="5"/>
        <v>5</v>
      </c>
      <c r="BK121" s="42" t="s">
        <v>22</v>
      </c>
      <c r="BL121" s="42"/>
      <c r="BM121" s="13"/>
    </row>
    <row r="122" spans="1:65" s="8" customFormat="1" ht="11.25">
      <c r="A122" s="44" t="s">
        <v>209</v>
      </c>
      <c r="B122" s="9" t="str">
        <f>"DOSSZIÉ (PAPÍR) FŰZŐS"</f>
        <v>DOSSZIÉ (PAPÍR) FŰZŐS</v>
      </c>
      <c r="C122" s="9" t="str">
        <f>"A/4"</f>
        <v>A/4</v>
      </c>
      <c r="D122" s="21" t="s">
        <v>22</v>
      </c>
      <c r="E122" s="28">
        <v>20</v>
      </c>
      <c r="F122" s="28">
        <v>50</v>
      </c>
      <c r="G122" s="5"/>
      <c r="H122" s="34">
        <v>30</v>
      </c>
      <c r="I122" s="28"/>
      <c r="J122" s="28"/>
      <c r="K122" s="28"/>
      <c r="L122" s="28"/>
      <c r="M122" s="28"/>
      <c r="N122" s="28"/>
      <c r="O122" s="28"/>
      <c r="P122" s="28"/>
      <c r="Q122" s="5"/>
      <c r="R122" s="5"/>
      <c r="S122" s="5"/>
      <c r="T122" s="5"/>
      <c r="U122" s="5"/>
      <c r="V122" s="5"/>
      <c r="W122" s="28"/>
      <c r="X122" s="28"/>
      <c r="Y122" s="28"/>
      <c r="Z122" s="5"/>
      <c r="AA122" s="5"/>
      <c r="AB122" s="28"/>
      <c r="AC122" s="28"/>
      <c r="AD122" s="11"/>
      <c r="AE122" s="5"/>
      <c r="AF122" s="5"/>
      <c r="AG122" s="5"/>
      <c r="AH122" s="5"/>
      <c r="AI122" s="5"/>
      <c r="AJ122" s="5"/>
      <c r="AK122" s="5"/>
      <c r="AL122" s="5"/>
      <c r="AM122" s="5"/>
      <c r="AN122" s="17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28"/>
      <c r="BA122" s="5"/>
      <c r="BB122" s="5"/>
      <c r="BC122" s="5"/>
      <c r="BD122" s="5"/>
      <c r="BE122" s="5"/>
      <c r="BF122" s="28"/>
      <c r="BG122" s="28"/>
      <c r="BH122" s="5"/>
      <c r="BI122" s="5"/>
      <c r="BJ122" s="5">
        <f t="shared" si="5"/>
        <v>100</v>
      </c>
      <c r="BK122" s="42" t="s">
        <v>22</v>
      </c>
      <c r="BL122" s="42"/>
      <c r="BM122" s="13"/>
    </row>
    <row r="123" spans="1:65" s="8" customFormat="1" ht="11.25">
      <c r="A123" s="44" t="s">
        <v>210</v>
      </c>
      <c r="B123" s="9" t="str">
        <f>"DOSSZIÉ (PAPÍR) PÓLYÁS-HAJTOGATÓS"</f>
        <v>DOSSZIÉ (PAPÍR) PÓLYÁS-HAJTOGATÓS</v>
      </c>
      <c r="C123" s="9" t="str">
        <f>"A/4"</f>
        <v>A/4</v>
      </c>
      <c r="D123" s="21" t="s">
        <v>22</v>
      </c>
      <c r="E123" s="28">
        <v>10</v>
      </c>
      <c r="F123" s="28">
        <v>20</v>
      </c>
      <c r="G123" s="5"/>
      <c r="H123" s="34"/>
      <c r="I123" s="28"/>
      <c r="J123" s="28"/>
      <c r="K123" s="28"/>
      <c r="L123" s="28"/>
      <c r="M123" s="28"/>
      <c r="N123" s="28"/>
      <c r="O123" s="28"/>
      <c r="P123" s="28"/>
      <c r="Q123" s="5"/>
      <c r="R123" s="5"/>
      <c r="S123" s="5"/>
      <c r="T123" s="5"/>
      <c r="U123" s="5"/>
      <c r="V123" s="5"/>
      <c r="W123" s="28"/>
      <c r="X123" s="28"/>
      <c r="Y123" s="28"/>
      <c r="Z123" s="5"/>
      <c r="AA123" s="5"/>
      <c r="AB123" s="28"/>
      <c r="AC123" s="28"/>
      <c r="AD123" s="11"/>
      <c r="AE123" s="5"/>
      <c r="AF123" s="5"/>
      <c r="AG123" s="5"/>
      <c r="AH123" s="5"/>
      <c r="AI123" s="5"/>
      <c r="AJ123" s="5"/>
      <c r="AK123" s="5"/>
      <c r="AL123" s="5"/>
      <c r="AM123" s="5"/>
      <c r="AN123" s="17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28"/>
      <c r="BA123" s="5"/>
      <c r="BB123" s="5"/>
      <c r="BC123" s="5"/>
      <c r="BD123" s="5"/>
      <c r="BE123" s="5"/>
      <c r="BF123" s="28"/>
      <c r="BG123" s="28"/>
      <c r="BH123" s="5"/>
      <c r="BI123" s="5"/>
      <c r="BJ123" s="5">
        <f t="shared" si="5"/>
        <v>30</v>
      </c>
      <c r="BK123" s="42" t="s">
        <v>22</v>
      </c>
      <c r="BL123" s="42"/>
      <c r="BM123" s="13"/>
    </row>
    <row r="124" spans="1:65" s="8" customFormat="1" ht="11.25" hidden="1">
      <c r="A124" s="44"/>
      <c r="B124" s="9" t="str">
        <f>"FÜZET (VÁZLAT)"</f>
        <v>FÜZET (VÁZLAT)</v>
      </c>
      <c r="C124" s="9" t="s">
        <v>15</v>
      </c>
      <c r="D124" s="21"/>
      <c r="E124" s="28"/>
      <c r="F124" s="28"/>
      <c r="G124" s="5"/>
      <c r="H124" s="34"/>
      <c r="I124" s="28"/>
      <c r="J124" s="28"/>
      <c r="K124" s="28"/>
      <c r="L124" s="28"/>
      <c r="M124" s="28"/>
      <c r="N124" s="28"/>
      <c r="O124" s="28"/>
      <c r="P124" s="28"/>
      <c r="Q124" s="5"/>
      <c r="R124" s="5"/>
      <c r="S124" s="5"/>
      <c r="T124" s="5"/>
      <c r="U124" s="5"/>
      <c r="V124" s="5"/>
      <c r="W124" s="28"/>
      <c r="X124" s="28"/>
      <c r="Y124" s="28"/>
      <c r="Z124" s="5"/>
      <c r="AA124" s="5"/>
      <c r="AB124" s="28"/>
      <c r="AC124" s="28"/>
      <c r="AD124" s="11"/>
      <c r="AE124" s="5"/>
      <c r="AF124" s="5"/>
      <c r="AG124" s="5"/>
      <c r="AH124" s="5"/>
      <c r="AI124" s="5"/>
      <c r="AJ124" s="5"/>
      <c r="AK124" s="5"/>
      <c r="AL124" s="5"/>
      <c r="AM124" s="5"/>
      <c r="AN124" s="17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28"/>
      <c r="BA124" s="5"/>
      <c r="BB124" s="5"/>
      <c r="BC124" s="5"/>
      <c r="BD124" s="5"/>
      <c r="BE124" s="5"/>
      <c r="BF124" s="28"/>
      <c r="BG124" s="28"/>
      <c r="BH124" s="5"/>
      <c r="BI124" s="5"/>
      <c r="BJ124" s="5">
        <f t="shared" si="5"/>
        <v>0</v>
      </c>
      <c r="BK124" s="42"/>
      <c r="BL124" s="42"/>
      <c r="BM124" s="13"/>
    </row>
    <row r="125" spans="1:65" s="8" customFormat="1" ht="11.25" hidden="1">
      <c r="A125" s="44"/>
      <c r="B125" s="9" t="str">
        <f>"FÜZET 27-32"</f>
        <v>FÜZET 27-32</v>
      </c>
      <c r="C125" s="9" t="s">
        <v>59</v>
      </c>
      <c r="D125" s="21"/>
      <c r="E125" s="28"/>
      <c r="F125" s="28"/>
      <c r="G125" s="5"/>
      <c r="H125" s="34"/>
      <c r="I125" s="28"/>
      <c r="J125" s="28"/>
      <c r="K125" s="28"/>
      <c r="L125" s="28"/>
      <c r="M125" s="28"/>
      <c r="N125" s="28"/>
      <c r="O125" s="28"/>
      <c r="P125" s="28"/>
      <c r="Q125" s="5"/>
      <c r="R125" s="5"/>
      <c r="S125" s="5"/>
      <c r="T125" s="5"/>
      <c r="U125" s="5"/>
      <c r="V125" s="5"/>
      <c r="W125" s="28"/>
      <c r="X125" s="28"/>
      <c r="Y125" s="28"/>
      <c r="Z125" s="5"/>
      <c r="AA125" s="5"/>
      <c r="AB125" s="28"/>
      <c r="AC125" s="28"/>
      <c r="AD125" s="11"/>
      <c r="AE125" s="5"/>
      <c r="AF125" s="5"/>
      <c r="AG125" s="5"/>
      <c r="AH125" s="5"/>
      <c r="AI125" s="5"/>
      <c r="AJ125" s="5"/>
      <c r="AK125" s="5"/>
      <c r="AL125" s="5"/>
      <c r="AM125" s="5"/>
      <c r="AN125" s="17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28"/>
      <c r="BA125" s="5"/>
      <c r="BB125" s="5"/>
      <c r="BC125" s="5"/>
      <c r="BD125" s="5"/>
      <c r="BE125" s="5"/>
      <c r="BF125" s="28"/>
      <c r="BG125" s="28"/>
      <c r="BH125" s="5"/>
      <c r="BI125" s="5"/>
      <c r="BJ125" s="5">
        <f t="shared" si="5"/>
        <v>0</v>
      </c>
      <c r="BK125" s="42"/>
      <c r="BL125" s="42"/>
      <c r="BM125" s="13"/>
    </row>
    <row r="126" spans="1:65" s="8" customFormat="1" ht="11.25" hidden="1">
      <c r="A126" s="44"/>
      <c r="B126" s="9" t="str">
        <f>"FÜZETBOX"</f>
        <v>FÜZETBOX</v>
      </c>
      <c r="C126" s="9" t="s">
        <v>60</v>
      </c>
      <c r="D126" s="21"/>
      <c r="E126" s="28"/>
      <c r="F126" s="28"/>
      <c r="G126" s="5"/>
      <c r="H126" s="34"/>
      <c r="I126" s="28"/>
      <c r="J126" s="28"/>
      <c r="K126" s="28"/>
      <c r="L126" s="28"/>
      <c r="M126" s="28"/>
      <c r="N126" s="28"/>
      <c r="O126" s="28"/>
      <c r="P126" s="28"/>
      <c r="Q126" s="5"/>
      <c r="R126" s="5"/>
      <c r="S126" s="5"/>
      <c r="T126" s="5"/>
      <c r="U126" s="5"/>
      <c r="V126" s="5"/>
      <c r="W126" s="28"/>
      <c r="X126" s="28"/>
      <c r="Y126" s="28"/>
      <c r="Z126" s="5"/>
      <c r="AA126" s="5"/>
      <c r="AB126" s="28"/>
      <c r="AC126" s="28"/>
      <c r="AD126" s="11"/>
      <c r="AE126" s="5"/>
      <c r="AF126" s="5"/>
      <c r="AG126" s="5"/>
      <c r="AH126" s="5"/>
      <c r="AI126" s="5"/>
      <c r="AJ126" s="5"/>
      <c r="AK126" s="5"/>
      <c r="AL126" s="5"/>
      <c r="AM126" s="5"/>
      <c r="AN126" s="17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28"/>
      <c r="BA126" s="5"/>
      <c r="BB126" s="5"/>
      <c r="BC126" s="5"/>
      <c r="BD126" s="5"/>
      <c r="BE126" s="5"/>
      <c r="BF126" s="28"/>
      <c r="BG126" s="28"/>
      <c r="BH126" s="5"/>
      <c r="BI126" s="5"/>
      <c r="BJ126" s="5">
        <f t="shared" si="5"/>
        <v>0</v>
      </c>
      <c r="BK126" s="42"/>
      <c r="BL126" s="42"/>
      <c r="BM126" s="13"/>
    </row>
    <row r="127" spans="1:65" s="8" customFormat="1" ht="11.25" hidden="1">
      <c r="A127" s="44"/>
      <c r="B127" s="9" t="str">
        <f>"GÉMKAPOCS TARTÓ"</f>
        <v>GÉMKAPOCS TARTÓ</v>
      </c>
      <c r="C127" s="9" t="str">
        <f>"MÁGNESES"</f>
        <v>MÁGNESES</v>
      </c>
      <c r="D127" s="21"/>
      <c r="E127" s="28"/>
      <c r="F127" s="28"/>
      <c r="G127" s="5"/>
      <c r="H127" s="34"/>
      <c r="I127" s="28"/>
      <c r="J127" s="28"/>
      <c r="K127" s="28"/>
      <c r="L127" s="28"/>
      <c r="M127" s="28"/>
      <c r="N127" s="28"/>
      <c r="O127" s="28"/>
      <c r="P127" s="28"/>
      <c r="Q127" s="5"/>
      <c r="R127" s="5"/>
      <c r="S127" s="5"/>
      <c r="T127" s="5"/>
      <c r="U127" s="5"/>
      <c r="V127" s="5"/>
      <c r="W127" s="28"/>
      <c r="X127" s="28"/>
      <c r="Y127" s="28"/>
      <c r="Z127" s="5"/>
      <c r="AA127" s="5"/>
      <c r="AB127" s="28"/>
      <c r="AC127" s="28"/>
      <c r="AD127" s="11"/>
      <c r="AE127" s="5"/>
      <c r="AF127" s="5"/>
      <c r="AG127" s="5"/>
      <c r="AH127" s="5"/>
      <c r="AI127" s="5"/>
      <c r="AJ127" s="5"/>
      <c r="AK127" s="5"/>
      <c r="AL127" s="5"/>
      <c r="AM127" s="5"/>
      <c r="AN127" s="17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28"/>
      <c r="BA127" s="5"/>
      <c r="BB127" s="5"/>
      <c r="BC127" s="5"/>
      <c r="BD127" s="5"/>
      <c r="BE127" s="5"/>
      <c r="BF127" s="28"/>
      <c r="BG127" s="28"/>
      <c r="BH127" s="5"/>
      <c r="BI127" s="5"/>
      <c r="BJ127" s="5">
        <f t="shared" si="5"/>
        <v>0</v>
      </c>
      <c r="BK127" s="42"/>
      <c r="BL127" s="42"/>
      <c r="BM127" s="13"/>
    </row>
    <row r="128" spans="1:65" s="8" customFormat="1" ht="11.25" hidden="1">
      <c r="A128" s="44"/>
      <c r="B128" s="9" t="str">
        <f>"GENOTHERMA (FÜLES)"</f>
        <v>GENOTHERMA (FÜLES)</v>
      </c>
      <c r="C128" s="9" t="str">
        <f>"A/4"</f>
        <v>A/4</v>
      </c>
      <c r="D128" s="21"/>
      <c r="E128" s="28"/>
      <c r="F128" s="28"/>
      <c r="G128" s="5"/>
      <c r="H128" s="34"/>
      <c r="I128" s="28"/>
      <c r="J128" s="28"/>
      <c r="K128" s="28"/>
      <c r="L128" s="28"/>
      <c r="M128" s="28"/>
      <c r="N128" s="28"/>
      <c r="O128" s="28"/>
      <c r="P128" s="28"/>
      <c r="Q128" s="5"/>
      <c r="R128" s="5"/>
      <c r="S128" s="5"/>
      <c r="T128" s="5"/>
      <c r="U128" s="5"/>
      <c r="V128" s="5"/>
      <c r="W128" s="28"/>
      <c r="X128" s="28"/>
      <c r="Y128" s="28"/>
      <c r="Z128" s="5"/>
      <c r="AA128" s="5"/>
      <c r="AB128" s="28"/>
      <c r="AC128" s="28"/>
      <c r="AD128" s="11"/>
      <c r="AE128" s="5"/>
      <c r="AF128" s="5"/>
      <c r="AG128" s="5"/>
      <c r="AH128" s="5"/>
      <c r="AI128" s="5"/>
      <c r="AJ128" s="5"/>
      <c r="AK128" s="5"/>
      <c r="AL128" s="5"/>
      <c r="AM128" s="5"/>
      <c r="AN128" s="17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28"/>
      <c r="BA128" s="5"/>
      <c r="BB128" s="5"/>
      <c r="BC128" s="5"/>
      <c r="BD128" s="5"/>
      <c r="BE128" s="5"/>
      <c r="BF128" s="28"/>
      <c r="BG128" s="28"/>
      <c r="BH128" s="5"/>
      <c r="BI128" s="5"/>
      <c r="BJ128" s="5">
        <f t="shared" si="5"/>
        <v>0</v>
      </c>
      <c r="BK128" s="42"/>
      <c r="BL128" s="42"/>
      <c r="BM128" s="13"/>
    </row>
    <row r="129" spans="1:65" s="8" customFormat="1" ht="11.25">
      <c r="A129" s="44" t="s">
        <v>211</v>
      </c>
      <c r="B129" s="9" t="s">
        <v>100</v>
      </c>
      <c r="C129" s="9" t="str">
        <f>"105X058 MM"</f>
        <v>105X058 MM</v>
      </c>
      <c r="D129" s="17" t="s">
        <v>37</v>
      </c>
      <c r="E129" s="28"/>
      <c r="F129" s="28"/>
      <c r="G129" s="5"/>
      <c r="H129" s="31"/>
      <c r="I129" s="28"/>
      <c r="J129" s="28"/>
      <c r="K129" s="28"/>
      <c r="L129" s="28"/>
      <c r="M129" s="28"/>
      <c r="N129" s="28"/>
      <c r="O129" s="28"/>
      <c r="P129" s="28"/>
      <c r="Q129" s="5"/>
      <c r="R129" s="5"/>
      <c r="S129" s="5"/>
      <c r="T129" s="5"/>
      <c r="U129" s="5"/>
      <c r="V129" s="5"/>
      <c r="W129" s="28"/>
      <c r="X129" s="28"/>
      <c r="Y129" s="28"/>
      <c r="Z129" s="5"/>
      <c r="AA129" s="5"/>
      <c r="AB129" s="28"/>
      <c r="AC129" s="28"/>
      <c r="AD129" s="11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28"/>
      <c r="BA129" s="5"/>
      <c r="BB129" s="5"/>
      <c r="BC129" s="5"/>
      <c r="BD129" s="5"/>
      <c r="BE129" s="5"/>
      <c r="BF129" s="28">
        <v>10</v>
      </c>
      <c r="BG129" s="28"/>
      <c r="BH129" s="5"/>
      <c r="BI129" s="5"/>
      <c r="BJ129" s="5">
        <f t="shared" si="5"/>
        <v>10</v>
      </c>
      <c r="BK129" s="41" t="s">
        <v>37</v>
      </c>
      <c r="BL129" s="41"/>
      <c r="BM129" s="13"/>
    </row>
    <row r="130" spans="1:65" s="8" customFormat="1" ht="11.25">
      <c r="A130" s="44" t="s">
        <v>212</v>
      </c>
      <c r="B130" s="9" t="s">
        <v>100</v>
      </c>
      <c r="C130" s="9" t="s">
        <v>150</v>
      </c>
      <c r="D130" s="17" t="s">
        <v>37</v>
      </c>
      <c r="E130" s="27"/>
      <c r="F130" s="27">
        <v>50</v>
      </c>
      <c r="G130" s="4"/>
      <c r="H130" s="34"/>
      <c r="I130" s="27"/>
      <c r="J130" s="27"/>
      <c r="K130" s="27"/>
      <c r="L130" s="27"/>
      <c r="M130" s="27"/>
      <c r="N130" s="27"/>
      <c r="O130" s="27"/>
      <c r="P130" s="27"/>
      <c r="Q130" s="4"/>
      <c r="R130" s="4"/>
      <c r="S130" s="4"/>
      <c r="T130" s="4"/>
      <c r="U130" s="4"/>
      <c r="V130" s="4"/>
      <c r="W130" s="27"/>
      <c r="X130" s="27"/>
      <c r="Y130" s="27"/>
      <c r="Z130" s="4"/>
      <c r="AA130" s="4"/>
      <c r="AB130" s="27"/>
      <c r="AC130" s="27"/>
      <c r="AD130" s="10"/>
      <c r="AE130" s="4"/>
      <c r="AF130" s="4"/>
      <c r="AG130" s="4"/>
      <c r="AH130" s="4"/>
      <c r="AI130" s="4"/>
      <c r="AJ130" s="4"/>
      <c r="AK130" s="4"/>
      <c r="AL130" s="4"/>
      <c r="AM130" s="4"/>
      <c r="AN130" s="17"/>
      <c r="AO130" s="4"/>
      <c r="AP130" s="4"/>
      <c r="AQ130" s="4"/>
      <c r="AR130" s="4"/>
      <c r="AS130" s="4"/>
      <c r="AT130" s="4"/>
      <c r="AU130" s="4"/>
      <c r="AV130" s="4"/>
      <c r="AW130" s="4"/>
      <c r="AX130" s="4">
        <v>2</v>
      </c>
      <c r="AY130" s="4">
        <v>2</v>
      </c>
      <c r="AZ130" s="27"/>
      <c r="BA130" s="4"/>
      <c r="BB130" s="4"/>
      <c r="BC130" s="4"/>
      <c r="BD130" s="4"/>
      <c r="BE130" s="4"/>
      <c r="BF130" s="27"/>
      <c r="BG130" s="27"/>
      <c r="BH130" s="4"/>
      <c r="BI130" s="4"/>
      <c r="BJ130" s="5">
        <f t="shared" si="5"/>
        <v>54</v>
      </c>
      <c r="BK130" s="41" t="s">
        <v>37</v>
      </c>
      <c r="BL130" s="41"/>
      <c r="BM130" s="13"/>
    </row>
    <row r="131" spans="1:65" s="9" customFormat="1" ht="11.25" hidden="1">
      <c r="A131" s="43"/>
      <c r="B131" s="9" t="s">
        <v>142</v>
      </c>
      <c r="C131" s="9" t="str">
        <f>"A/4"</f>
        <v>A/4</v>
      </c>
      <c r="D131" s="17" t="s">
        <v>37</v>
      </c>
      <c r="E131" s="27"/>
      <c r="F131" s="27"/>
      <c r="G131" s="4"/>
      <c r="H131" s="34"/>
      <c r="I131" s="27"/>
      <c r="J131" s="27"/>
      <c r="K131" s="27"/>
      <c r="L131" s="27"/>
      <c r="M131" s="27"/>
      <c r="N131" s="27"/>
      <c r="O131" s="27"/>
      <c r="P131" s="27"/>
      <c r="Q131" s="4"/>
      <c r="R131" s="4"/>
      <c r="S131" s="4"/>
      <c r="T131" s="4"/>
      <c r="U131" s="4"/>
      <c r="V131" s="4"/>
      <c r="W131" s="27"/>
      <c r="X131" s="27"/>
      <c r="Y131" s="27"/>
      <c r="Z131" s="4"/>
      <c r="AA131" s="4"/>
      <c r="AB131" s="27"/>
      <c r="AC131" s="27"/>
      <c r="AD131" s="10"/>
      <c r="AE131" s="4"/>
      <c r="AF131" s="4"/>
      <c r="AG131" s="4"/>
      <c r="AH131" s="4"/>
      <c r="AI131" s="4"/>
      <c r="AJ131" s="4"/>
      <c r="AK131" s="4"/>
      <c r="AL131" s="4"/>
      <c r="AM131" s="4"/>
      <c r="AN131" s="17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27"/>
      <c r="BA131" s="4"/>
      <c r="BB131" s="4"/>
      <c r="BC131" s="4"/>
      <c r="BD131" s="4"/>
      <c r="BE131" s="4"/>
      <c r="BF131" s="27"/>
      <c r="BG131" s="27"/>
      <c r="BH131" s="4"/>
      <c r="BI131" s="4"/>
      <c r="BJ131" s="5">
        <f t="shared" si="5"/>
        <v>0</v>
      </c>
      <c r="BK131" s="41" t="s">
        <v>37</v>
      </c>
      <c r="BL131" s="41"/>
      <c r="BM131" s="51"/>
    </row>
    <row r="132" spans="1:65" s="9" customFormat="1" ht="11.25" hidden="1">
      <c r="A132" s="43"/>
      <c r="B132" s="9" t="s">
        <v>143</v>
      </c>
      <c r="C132" s="9" t="str">
        <f>"A/4"</f>
        <v>A/4</v>
      </c>
      <c r="D132" s="17" t="s">
        <v>37</v>
      </c>
      <c r="E132" s="27"/>
      <c r="F132" s="27"/>
      <c r="G132" s="4"/>
      <c r="H132" s="34"/>
      <c r="I132" s="27"/>
      <c r="J132" s="27"/>
      <c r="K132" s="27"/>
      <c r="L132" s="27"/>
      <c r="M132" s="27"/>
      <c r="N132" s="27"/>
      <c r="O132" s="27"/>
      <c r="P132" s="27"/>
      <c r="Q132" s="4"/>
      <c r="R132" s="4"/>
      <c r="S132" s="4"/>
      <c r="T132" s="4"/>
      <c r="U132" s="4"/>
      <c r="V132" s="4"/>
      <c r="W132" s="27"/>
      <c r="X132" s="27"/>
      <c r="Y132" s="27"/>
      <c r="Z132" s="4"/>
      <c r="AA132" s="4"/>
      <c r="AB132" s="27"/>
      <c r="AC132" s="27"/>
      <c r="AD132" s="10"/>
      <c r="AE132" s="4"/>
      <c r="AF132" s="4"/>
      <c r="AG132" s="4"/>
      <c r="AH132" s="4"/>
      <c r="AI132" s="4"/>
      <c r="AJ132" s="4"/>
      <c r="AK132" s="4"/>
      <c r="AL132" s="4"/>
      <c r="AM132" s="4"/>
      <c r="AN132" s="17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27"/>
      <c r="BA132" s="4"/>
      <c r="BB132" s="4"/>
      <c r="BC132" s="4"/>
      <c r="BD132" s="4"/>
      <c r="BE132" s="4"/>
      <c r="BF132" s="27"/>
      <c r="BG132" s="27"/>
      <c r="BH132" s="4"/>
      <c r="BI132" s="4"/>
      <c r="BJ132" s="5">
        <f t="shared" si="5"/>
        <v>0</v>
      </c>
      <c r="BK132" s="41" t="s">
        <v>37</v>
      </c>
      <c r="BL132" s="41"/>
      <c r="BM132" s="51"/>
    </row>
    <row r="133" spans="1:65" s="9" customFormat="1" ht="11.25" hidden="1">
      <c r="A133" s="43"/>
      <c r="B133" s="9" t="s">
        <v>144</v>
      </c>
      <c r="D133" s="17" t="s">
        <v>37</v>
      </c>
      <c r="E133" s="27"/>
      <c r="F133" s="27"/>
      <c r="G133" s="4"/>
      <c r="H133" s="34"/>
      <c r="I133" s="27"/>
      <c r="J133" s="27"/>
      <c r="K133" s="27"/>
      <c r="L133" s="27"/>
      <c r="M133" s="27"/>
      <c r="N133" s="27"/>
      <c r="O133" s="27"/>
      <c r="P133" s="27"/>
      <c r="Q133" s="4"/>
      <c r="R133" s="4"/>
      <c r="S133" s="4"/>
      <c r="T133" s="4"/>
      <c r="U133" s="4"/>
      <c r="V133" s="4"/>
      <c r="W133" s="27"/>
      <c r="X133" s="27"/>
      <c r="Y133" s="27"/>
      <c r="Z133" s="4"/>
      <c r="AA133" s="4"/>
      <c r="AB133" s="27"/>
      <c r="AC133" s="27"/>
      <c r="AD133" s="10"/>
      <c r="AE133" s="4"/>
      <c r="AF133" s="4"/>
      <c r="AG133" s="4"/>
      <c r="AH133" s="4"/>
      <c r="AI133" s="4"/>
      <c r="AJ133" s="4"/>
      <c r="AK133" s="4"/>
      <c r="AL133" s="4"/>
      <c r="AM133" s="4"/>
      <c r="AN133" s="17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27"/>
      <c r="BA133" s="4"/>
      <c r="BB133" s="4"/>
      <c r="BC133" s="4"/>
      <c r="BD133" s="4"/>
      <c r="BE133" s="4"/>
      <c r="BF133" s="27"/>
      <c r="BG133" s="27"/>
      <c r="BH133" s="4"/>
      <c r="BI133" s="4"/>
      <c r="BJ133" s="5">
        <f aca="true" t="shared" si="6" ref="BJ133:BJ186">SUM(E133:BI133)</f>
        <v>0</v>
      </c>
      <c r="BK133" s="41" t="s">
        <v>37</v>
      </c>
      <c r="BL133" s="41"/>
      <c r="BM133" s="51"/>
    </row>
    <row r="134" spans="1:65" s="9" customFormat="1" ht="11.25" hidden="1">
      <c r="A134" s="43"/>
      <c r="B134" s="9" t="s">
        <v>145</v>
      </c>
      <c r="D134" s="17" t="s">
        <v>37</v>
      </c>
      <c r="E134" s="27"/>
      <c r="F134" s="27"/>
      <c r="G134" s="4"/>
      <c r="H134" s="34"/>
      <c r="I134" s="27"/>
      <c r="J134" s="27"/>
      <c r="K134" s="27"/>
      <c r="L134" s="27"/>
      <c r="M134" s="27"/>
      <c r="N134" s="27"/>
      <c r="O134" s="27"/>
      <c r="P134" s="27"/>
      <c r="Q134" s="4"/>
      <c r="R134" s="4"/>
      <c r="S134" s="4"/>
      <c r="T134" s="4"/>
      <c r="U134" s="4"/>
      <c r="V134" s="4"/>
      <c r="W134" s="27"/>
      <c r="X134" s="27"/>
      <c r="Y134" s="27"/>
      <c r="Z134" s="4"/>
      <c r="AA134" s="4"/>
      <c r="AB134" s="27"/>
      <c r="AC134" s="27"/>
      <c r="AD134" s="10"/>
      <c r="AE134" s="4"/>
      <c r="AF134" s="4"/>
      <c r="AG134" s="4"/>
      <c r="AH134" s="4"/>
      <c r="AI134" s="4"/>
      <c r="AJ134" s="4"/>
      <c r="AK134" s="4"/>
      <c r="AL134" s="4"/>
      <c r="AM134" s="4"/>
      <c r="AN134" s="17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27"/>
      <c r="BA134" s="4"/>
      <c r="BB134" s="4"/>
      <c r="BC134" s="4"/>
      <c r="BD134" s="4"/>
      <c r="BE134" s="4"/>
      <c r="BF134" s="27"/>
      <c r="BG134" s="27"/>
      <c r="BH134" s="4"/>
      <c r="BI134" s="4"/>
      <c r="BJ134" s="5">
        <f t="shared" si="6"/>
        <v>0</v>
      </c>
      <c r="BK134" s="41" t="s">
        <v>37</v>
      </c>
      <c r="BL134" s="41"/>
      <c r="BM134" s="51"/>
    </row>
    <row r="135" spans="1:65" s="9" customFormat="1" ht="11.25" hidden="1">
      <c r="A135" s="43"/>
      <c r="B135" s="9" t="s">
        <v>146</v>
      </c>
      <c r="D135" s="17" t="s">
        <v>37</v>
      </c>
      <c r="E135" s="27"/>
      <c r="F135" s="27"/>
      <c r="G135" s="4"/>
      <c r="H135" s="34"/>
      <c r="I135" s="27"/>
      <c r="J135" s="27"/>
      <c r="K135" s="27"/>
      <c r="L135" s="27"/>
      <c r="M135" s="27"/>
      <c r="N135" s="27"/>
      <c r="O135" s="27"/>
      <c r="P135" s="27"/>
      <c r="Q135" s="4"/>
      <c r="R135" s="4"/>
      <c r="S135" s="4"/>
      <c r="T135" s="4"/>
      <c r="U135" s="4"/>
      <c r="V135" s="4"/>
      <c r="W135" s="27"/>
      <c r="X135" s="27"/>
      <c r="Y135" s="27"/>
      <c r="Z135" s="4"/>
      <c r="AA135" s="4"/>
      <c r="AB135" s="27"/>
      <c r="AC135" s="27"/>
      <c r="AD135" s="10"/>
      <c r="AE135" s="4"/>
      <c r="AF135" s="4"/>
      <c r="AG135" s="4"/>
      <c r="AH135" s="4"/>
      <c r="AI135" s="4"/>
      <c r="AJ135" s="4"/>
      <c r="AK135" s="4"/>
      <c r="AL135" s="4"/>
      <c r="AM135" s="4"/>
      <c r="AN135" s="17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27"/>
      <c r="BA135" s="4"/>
      <c r="BB135" s="4"/>
      <c r="BC135" s="4"/>
      <c r="BD135" s="4"/>
      <c r="BE135" s="4"/>
      <c r="BF135" s="27"/>
      <c r="BG135" s="27"/>
      <c r="BH135" s="4"/>
      <c r="BI135" s="4"/>
      <c r="BJ135" s="5">
        <f t="shared" si="6"/>
        <v>0</v>
      </c>
      <c r="BK135" s="41" t="s">
        <v>37</v>
      </c>
      <c r="BL135" s="41"/>
      <c r="BM135" s="51"/>
    </row>
    <row r="136" spans="1:65" s="9" customFormat="1" ht="11.25" hidden="1">
      <c r="A136" s="43"/>
      <c r="B136" s="9" t="s">
        <v>147</v>
      </c>
      <c r="D136" s="17" t="s">
        <v>37</v>
      </c>
      <c r="E136" s="27"/>
      <c r="F136" s="27"/>
      <c r="G136" s="4"/>
      <c r="H136" s="34"/>
      <c r="I136" s="27"/>
      <c r="J136" s="27"/>
      <c r="K136" s="27"/>
      <c r="L136" s="27"/>
      <c r="M136" s="27"/>
      <c r="N136" s="27"/>
      <c r="O136" s="27"/>
      <c r="P136" s="27"/>
      <c r="Q136" s="4"/>
      <c r="R136" s="4"/>
      <c r="S136" s="4"/>
      <c r="T136" s="4"/>
      <c r="U136" s="4"/>
      <c r="V136" s="4"/>
      <c r="W136" s="27"/>
      <c r="X136" s="27"/>
      <c r="Y136" s="27"/>
      <c r="Z136" s="4"/>
      <c r="AA136" s="4"/>
      <c r="AB136" s="27"/>
      <c r="AC136" s="27"/>
      <c r="AD136" s="10"/>
      <c r="AE136" s="4"/>
      <c r="AF136" s="4"/>
      <c r="AG136" s="4"/>
      <c r="AH136" s="4"/>
      <c r="AI136" s="4"/>
      <c r="AJ136" s="4"/>
      <c r="AK136" s="4"/>
      <c r="AL136" s="4"/>
      <c r="AM136" s="4"/>
      <c r="AN136" s="17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27"/>
      <c r="BA136" s="4"/>
      <c r="BB136" s="4"/>
      <c r="BC136" s="4"/>
      <c r="BD136" s="4"/>
      <c r="BE136" s="4"/>
      <c r="BF136" s="27"/>
      <c r="BG136" s="27"/>
      <c r="BH136" s="4"/>
      <c r="BI136" s="4"/>
      <c r="BJ136" s="5">
        <f t="shared" si="6"/>
        <v>0</v>
      </c>
      <c r="BK136" s="41" t="s">
        <v>37</v>
      </c>
      <c r="BL136" s="41"/>
      <c r="BM136" s="51"/>
    </row>
    <row r="137" spans="1:65" s="9" customFormat="1" ht="11.25" hidden="1">
      <c r="A137" s="43"/>
      <c r="B137" s="9" t="s">
        <v>148</v>
      </c>
      <c r="D137" s="17" t="s">
        <v>37</v>
      </c>
      <c r="E137" s="27"/>
      <c r="F137" s="27"/>
      <c r="G137" s="4"/>
      <c r="H137" s="34"/>
      <c r="I137" s="27"/>
      <c r="J137" s="27"/>
      <c r="K137" s="27"/>
      <c r="L137" s="27"/>
      <c r="M137" s="27"/>
      <c r="N137" s="27"/>
      <c r="O137" s="27"/>
      <c r="P137" s="27"/>
      <c r="Q137" s="4"/>
      <c r="R137" s="4"/>
      <c r="S137" s="4"/>
      <c r="T137" s="4"/>
      <c r="U137" s="4"/>
      <c r="V137" s="4"/>
      <c r="W137" s="27"/>
      <c r="X137" s="27"/>
      <c r="Y137" s="27"/>
      <c r="Z137" s="4"/>
      <c r="AA137" s="4"/>
      <c r="AB137" s="27"/>
      <c r="AC137" s="27"/>
      <c r="AD137" s="10"/>
      <c r="AE137" s="4"/>
      <c r="AF137" s="4"/>
      <c r="AG137" s="4"/>
      <c r="AH137" s="4"/>
      <c r="AI137" s="4"/>
      <c r="AJ137" s="4"/>
      <c r="AK137" s="4"/>
      <c r="AL137" s="4"/>
      <c r="AM137" s="4"/>
      <c r="AN137" s="17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27"/>
      <c r="BA137" s="4"/>
      <c r="BB137" s="4"/>
      <c r="BC137" s="4"/>
      <c r="BD137" s="4"/>
      <c r="BE137" s="4"/>
      <c r="BF137" s="27"/>
      <c r="BG137" s="27"/>
      <c r="BH137" s="4"/>
      <c r="BI137" s="4"/>
      <c r="BJ137" s="5">
        <f t="shared" si="6"/>
        <v>0</v>
      </c>
      <c r="BK137" s="41" t="s">
        <v>37</v>
      </c>
      <c r="BL137" s="41"/>
      <c r="BM137" s="51"/>
    </row>
    <row r="138" spans="1:65" s="9" customFormat="1" ht="11.25">
      <c r="A138" s="43" t="s">
        <v>213</v>
      </c>
      <c r="B138" s="9" t="s">
        <v>100</v>
      </c>
      <c r="C138" s="9" t="s">
        <v>152</v>
      </c>
      <c r="D138" s="17" t="s">
        <v>37</v>
      </c>
      <c r="E138" s="27"/>
      <c r="F138" s="27"/>
      <c r="G138" s="4"/>
      <c r="H138" s="34"/>
      <c r="I138" s="27"/>
      <c r="J138" s="27"/>
      <c r="K138" s="27"/>
      <c r="L138" s="27"/>
      <c r="M138" s="27"/>
      <c r="N138" s="27"/>
      <c r="O138" s="27"/>
      <c r="P138" s="27"/>
      <c r="Q138" s="4"/>
      <c r="R138" s="4"/>
      <c r="S138" s="4"/>
      <c r="T138" s="4"/>
      <c r="U138" s="4"/>
      <c r="V138" s="4"/>
      <c r="W138" s="27"/>
      <c r="X138" s="27"/>
      <c r="Y138" s="27"/>
      <c r="Z138" s="4"/>
      <c r="AA138" s="4"/>
      <c r="AB138" s="27"/>
      <c r="AC138" s="27"/>
      <c r="AD138" s="10"/>
      <c r="AE138" s="4"/>
      <c r="AF138" s="4"/>
      <c r="AG138" s="4"/>
      <c r="AH138" s="4"/>
      <c r="AI138" s="4"/>
      <c r="AJ138" s="4"/>
      <c r="AK138" s="4"/>
      <c r="AL138" s="4"/>
      <c r="AM138" s="4"/>
      <c r="AN138" s="17"/>
      <c r="AO138" s="4"/>
      <c r="AP138" s="4"/>
      <c r="AQ138" s="4"/>
      <c r="AR138" s="4"/>
      <c r="AS138" s="4"/>
      <c r="AT138" s="4"/>
      <c r="AU138" s="4"/>
      <c r="AV138" s="4"/>
      <c r="AW138" s="4"/>
      <c r="AX138" s="4">
        <v>2</v>
      </c>
      <c r="AY138" s="4">
        <v>2</v>
      </c>
      <c r="AZ138" s="27"/>
      <c r="BA138" s="4"/>
      <c r="BB138" s="4"/>
      <c r="BC138" s="4"/>
      <c r="BD138" s="4"/>
      <c r="BE138" s="4"/>
      <c r="BF138" s="27"/>
      <c r="BG138" s="27"/>
      <c r="BH138" s="4"/>
      <c r="BI138" s="4"/>
      <c r="BJ138" s="5">
        <f t="shared" si="6"/>
        <v>4</v>
      </c>
      <c r="BK138" s="41" t="s">
        <v>37</v>
      </c>
      <c r="BL138" s="41"/>
      <c r="BM138" s="51"/>
    </row>
    <row r="139" spans="1:65" s="9" customFormat="1" ht="11.25">
      <c r="A139" s="43" t="s">
        <v>214</v>
      </c>
      <c r="B139" s="9" t="s">
        <v>100</v>
      </c>
      <c r="C139" s="9" t="str">
        <f>"68X35 MM"</f>
        <v>68X35 MM</v>
      </c>
      <c r="D139" s="17" t="s">
        <v>37</v>
      </c>
      <c r="E139" s="27"/>
      <c r="F139" s="27"/>
      <c r="G139" s="4"/>
      <c r="H139" s="34"/>
      <c r="I139" s="27"/>
      <c r="J139" s="27"/>
      <c r="K139" s="27"/>
      <c r="L139" s="27"/>
      <c r="M139" s="27"/>
      <c r="N139" s="27"/>
      <c r="O139" s="27"/>
      <c r="P139" s="27"/>
      <c r="Q139" s="4"/>
      <c r="R139" s="4"/>
      <c r="S139" s="4"/>
      <c r="T139" s="4"/>
      <c r="U139" s="4"/>
      <c r="V139" s="4"/>
      <c r="W139" s="27"/>
      <c r="X139" s="27"/>
      <c r="Y139" s="27"/>
      <c r="Z139" s="4">
        <v>8</v>
      </c>
      <c r="AA139" s="4"/>
      <c r="AB139" s="27"/>
      <c r="AC139" s="27"/>
      <c r="AD139" s="10"/>
      <c r="AE139" s="4"/>
      <c r="AF139" s="4"/>
      <c r="AG139" s="4"/>
      <c r="AH139" s="4"/>
      <c r="AI139" s="4"/>
      <c r="AJ139" s="4"/>
      <c r="AK139" s="4"/>
      <c r="AL139" s="4"/>
      <c r="AM139" s="4"/>
      <c r="AN139" s="17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27"/>
      <c r="BA139" s="4"/>
      <c r="BB139" s="4"/>
      <c r="BC139" s="4"/>
      <c r="BD139" s="4"/>
      <c r="BE139" s="4"/>
      <c r="BF139" s="27"/>
      <c r="BG139" s="27"/>
      <c r="BH139" s="4"/>
      <c r="BI139" s="4"/>
      <c r="BJ139" s="5">
        <f t="shared" si="6"/>
        <v>8</v>
      </c>
      <c r="BK139" s="41" t="s">
        <v>37</v>
      </c>
      <c r="BL139" s="41"/>
      <c r="BM139" s="51"/>
    </row>
    <row r="140" spans="1:65" s="9" customFormat="1" ht="11.25">
      <c r="A140" s="43" t="s">
        <v>215</v>
      </c>
      <c r="B140" s="9" t="s">
        <v>100</v>
      </c>
      <c r="C140" s="9" t="s">
        <v>151</v>
      </c>
      <c r="D140" s="17" t="s">
        <v>37</v>
      </c>
      <c r="E140" s="27"/>
      <c r="F140" s="27">
        <v>10</v>
      </c>
      <c r="G140" s="4"/>
      <c r="H140" s="34"/>
      <c r="I140" s="27"/>
      <c r="J140" s="27"/>
      <c r="K140" s="27"/>
      <c r="L140" s="27"/>
      <c r="M140" s="27"/>
      <c r="N140" s="27"/>
      <c r="O140" s="27"/>
      <c r="P140" s="27"/>
      <c r="Q140" s="4"/>
      <c r="R140" s="4"/>
      <c r="S140" s="4"/>
      <c r="T140" s="4"/>
      <c r="U140" s="4"/>
      <c r="V140" s="4"/>
      <c r="W140" s="27"/>
      <c r="X140" s="27"/>
      <c r="Y140" s="27"/>
      <c r="Z140" s="4"/>
      <c r="AA140" s="4"/>
      <c r="AB140" s="27"/>
      <c r="AC140" s="27"/>
      <c r="AD140" s="10"/>
      <c r="AE140" s="4"/>
      <c r="AF140" s="4"/>
      <c r="AG140" s="4"/>
      <c r="AH140" s="4"/>
      <c r="AI140" s="4"/>
      <c r="AJ140" s="4"/>
      <c r="AK140" s="4"/>
      <c r="AL140" s="4"/>
      <c r="AM140" s="4"/>
      <c r="AN140" s="17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27"/>
      <c r="BA140" s="4"/>
      <c r="BB140" s="4"/>
      <c r="BC140" s="4"/>
      <c r="BD140" s="4"/>
      <c r="BE140" s="4"/>
      <c r="BF140" s="27"/>
      <c r="BG140" s="27"/>
      <c r="BH140" s="4"/>
      <c r="BI140" s="4"/>
      <c r="BJ140" s="5">
        <f t="shared" si="6"/>
        <v>10</v>
      </c>
      <c r="BK140" s="41" t="s">
        <v>37</v>
      </c>
      <c r="BL140" s="41"/>
      <c r="BM140" s="51"/>
    </row>
    <row r="141" spans="1:65" s="9" customFormat="1" ht="11.25">
      <c r="A141" s="43" t="s">
        <v>216</v>
      </c>
      <c r="B141" s="9" t="s">
        <v>100</v>
      </c>
      <c r="C141" s="8" t="s">
        <v>149</v>
      </c>
      <c r="D141" s="17" t="s">
        <v>37</v>
      </c>
      <c r="E141" s="28">
        <v>1</v>
      </c>
      <c r="F141" s="28"/>
      <c r="G141" s="5"/>
      <c r="H141" s="31"/>
      <c r="I141" s="28"/>
      <c r="J141" s="28"/>
      <c r="K141" s="28"/>
      <c r="L141" s="28"/>
      <c r="M141" s="28"/>
      <c r="N141" s="28"/>
      <c r="O141" s="28"/>
      <c r="P141" s="28"/>
      <c r="Q141" s="5"/>
      <c r="R141" s="5"/>
      <c r="S141" s="5"/>
      <c r="T141" s="5"/>
      <c r="U141" s="5"/>
      <c r="V141" s="5"/>
      <c r="W141" s="28"/>
      <c r="X141" s="28"/>
      <c r="Y141" s="28"/>
      <c r="Z141" s="5"/>
      <c r="AA141" s="5"/>
      <c r="AB141" s="28"/>
      <c r="AC141" s="28"/>
      <c r="AD141" s="11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28"/>
      <c r="BA141" s="5"/>
      <c r="BB141" s="5"/>
      <c r="BC141" s="5"/>
      <c r="BD141" s="5"/>
      <c r="BE141" s="5"/>
      <c r="BF141" s="28"/>
      <c r="BG141" s="28"/>
      <c r="BH141" s="5"/>
      <c r="BI141" s="5"/>
      <c r="BJ141" s="5">
        <f t="shared" si="6"/>
        <v>1</v>
      </c>
      <c r="BK141" s="41" t="s">
        <v>37</v>
      </c>
      <c r="BL141" s="41"/>
      <c r="BM141" s="51"/>
    </row>
    <row r="142" spans="1:65" s="9" customFormat="1" ht="11.25" hidden="1">
      <c r="A142" s="43"/>
      <c r="B142" s="9" t="str">
        <f>"GOLYÓSTOLL (PENTEL BK-408 B)"</f>
        <v>GOLYÓSTOLL (PENTEL BK-408 B)</v>
      </c>
      <c r="D142" s="21"/>
      <c r="E142" s="27"/>
      <c r="F142" s="27"/>
      <c r="G142" s="4"/>
      <c r="H142" s="34"/>
      <c r="I142" s="27"/>
      <c r="J142" s="27"/>
      <c r="K142" s="27"/>
      <c r="L142" s="27"/>
      <c r="M142" s="27"/>
      <c r="N142" s="27"/>
      <c r="O142" s="27"/>
      <c r="P142" s="27"/>
      <c r="Q142" s="4"/>
      <c r="R142" s="4"/>
      <c r="S142" s="4"/>
      <c r="T142" s="4"/>
      <c r="U142" s="4"/>
      <c r="V142" s="4"/>
      <c r="W142" s="27"/>
      <c r="X142" s="27"/>
      <c r="Y142" s="27"/>
      <c r="Z142" s="4"/>
      <c r="AA142" s="4"/>
      <c r="AB142" s="27"/>
      <c r="AC142" s="27"/>
      <c r="AD142" s="10"/>
      <c r="AE142" s="4"/>
      <c r="AF142" s="4"/>
      <c r="AG142" s="4"/>
      <c r="AH142" s="4"/>
      <c r="AI142" s="4"/>
      <c r="AJ142" s="4"/>
      <c r="AK142" s="4"/>
      <c r="AL142" s="4"/>
      <c r="AM142" s="4"/>
      <c r="AN142" s="17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27"/>
      <c r="BA142" s="4"/>
      <c r="BB142" s="4"/>
      <c r="BC142" s="4"/>
      <c r="BD142" s="4"/>
      <c r="BE142" s="4"/>
      <c r="BF142" s="27"/>
      <c r="BG142" s="27"/>
      <c r="BH142" s="4"/>
      <c r="BI142" s="4"/>
      <c r="BJ142" s="5">
        <f t="shared" si="6"/>
        <v>0</v>
      </c>
      <c r="BK142" s="42"/>
      <c r="BL142" s="42"/>
      <c r="BM142" s="51"/>
    </row>
    <row r="143" spans="1:67" s="8" customFormat="1" ht="11.25">
      <c r="A143" s="44" t="s">
        <v>217</v>
      </c>
      <c r="B143" s="9" t="s">
        <v>25</v>
      </c>
      <c r="C143" s="9" t="str">
        <f>"A/3 (80 GRAMM)"</f>
        <v>A/3 (80 GRAMM)</v>
      </c>
      <c r="D143" s="21" t="s">
        <v>24</v>
      </c>
      <c r="E143" s="28"/>
      <c r="F143" s="28"/>
      <c r="G143" s="5">
        <v>2</v>
      </c>
      <c r="H143" s="34"/>
      <c r="I143" s="28"/>
      <c r="J143" s="28"/>
      <c r="K143" s="28"/>
      <c r="L143" s="28"/>
      <c r="M143" s="28"/>
      <c r="N143" s="28"/>
      <c r="O143" s="28"/>
      <c r="P143" s="28"/>
      <c r="Q143" s="5"/>
      <c r="R143" s="5"/>
      <c r="S143" s="5"/>
      <c r="T143" s="5"/>
      <c r="U143" s="5"/>
      <c r="V143" s="5"/>
      <c r="W143" s="28"/>
      <c r="X143" s="28"/>
      <c r="Y143" s="28"/>
      <c r="Z143" s="5"/>
      <c r="AA143" s="5"/>
      <c r="AB143" s="28"/>
      <c r="AC143" s="28"/>
      <c r="AD143" s="11"/>
      <c r="AE143" s="5"/>
      <c r="AF143" s="5"/>
      <c r="AG143" s="5"/>
      <c r="AH143" s="5"/>
      <c r="AI143" s="5"/>
      <c r="AJ143" s="5"/>
      <c r="AK143" s="5"/>
      <c r="AL143" s="5"/>
      <c r="AM143" s="5"/>
      <c r="AN143" s="17"/>
      <c r="AO143" s="5"/>
      <c r="AP143" s="5"/>
      <c r="AQ143" s="5"/>
      <c r="AR143" s="5"/>
      <c r="AS143" s="5"/>
      <c r="AT143" s="5"/>
      <c r="AU143" s="5">
        <v>1</v>
      </c>
      <c r="AV143" s="5">
        <v>1</v>
      </c>
      <c r="AW143" s="5"/>
      <c r="AX143" s="5"/>
      <c r="AY143" s="5"/>
      <c r="AZ143" s="28"/>
      <c r="BA143" s="5"/>
      <c r="BB143" s="5"/>
      <c r="BC143" s="5"/>
      <c r="BD143" s="38"/>
      <c r="BE143" s="38"/>
      <c r="BF143" s="28"/>
      <c r="BG143" s="28"/>
      <c r="BH143" s="5"/>
      <c r="BI143" s="5"/>
      <c r="BJ143" s="5">
        <f t="shared" si="6"/>
        <v>4</v>
      </c>
      <c r="BK143" s="42" t="s">
        <v>24</v>
      </c>
      <c r="BL143" s="42"/>
      <c r="BM143" s="13"/>
      <c r="BO143" s="9"/>
    </row>
    <row r="144" spans="1:65" s="9" customFormat="1" ht="11.25" hidden="1">
      <c r="A144" s="43"/>
      <c r="B144" s="9" t="str">
        <f>"GOLYÓSTOLL (ÜGYFELES)"</f>
        <v>GOLYÓSTOLL (ÜGYFELES)</v>
      </c>
      <c r="D144" s="21" t="s">
        <v>22</v>
      </c>
      <c r="E144" s="27"/>
      <c r="F144" s="27"/>
      <c r="G144" s="4"/>
      <c r="H144" s="34"/>
      <c r="I144" s="27"/>
      <c r="J144" s="27"/>
      <c r="K144" s="27"/>
      <c r="L144" s="27"/>
      <c r="M144" s="27"/>
      <c r="N144" s="27"/>
      <c r="O144" s="27"/>
      <c r="P144" s="27"/>
      <c r="Q144" s="4"/>
      <c r="R144" s="4"/>
      <c r="S144" s="4"/>
      <c r="T144" s="4"/>
      <c r="U144" s="4"/>
      <c r="V144" s="4"/>
      <c r="W144" s="27"/>
      <c r="X144" s="27"/>
      <c r="Y144" s="27"/>
      <c r="Z144" s="4"/>
      <c r="AA144" s="4"/>
      <c r="AB144" s="27"/>
      <c r="AC144" s="27"/>
      <c r="AD144" s="10"/>
      <c r="AE144" s="4"/>
      <c r="AF144" s="4"/>
      <c r="AG144" s="4"/>
      <c r="AH144" s="4"/>
      <c r="AI144" s="4"/>
      <c r="AJ144" s="4"/>
      <c r="AK144" s="4"/>
      <c r="AL144" s="4"/>
      <c r="AM144" s="4"/>
      <c r="AN144" s="17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27"/>
      <c r="BA144" s="4"/>
      <c r="BB144" s="4"/>
      <c r="BC144" s="4"/>
      <c r="BD144" s="4"/>
      <c r="BE144" s="4"/>
      <c r="BF144" s="27"/>
      <c r="BG144" s="27"/>
      <c r="BH144" s="4"/>
      <c r="BI144" s="4"/>
      <c r="BJ144" s="5">
        <f t="shared" si="6"/>
        <v>0</v>
      </c>
      <c r="BK144" s="42" t="s">
        <v>22</v>
      </c>
      <c r="BL144" s="42"/>
      <c r="BM144" s="51"/>
    </row>
    <row r="145" spans="1:65" s="9" customFormat="1" ht="11.25">
      <c r="A145" s="43" t="s">
        <v>218</v>
      </c>
      <c r="B145" s="9" t="s">
        <v>25</v>
      </c>
      <c r="C145" s="9" t="str">
        <f>"A/4 (80 GRAMM)"</f>
        <v>A/4 (80 GRAMM)</v>
      </c>
      <c r="D145" s="21" t="s">
        <v>24</v>
      </c>
      <c r="E145" s="28">
        <v>10</v>
      </c>
      <c r="F145" s="28">
        <v>5</v>
      </c>
      <c r="G145" s="5">
        <v>10</v>
      </c>
      <c r="H145" s="34">
        <v>2</v>
      </c>
      <c r="I145" s="28"/>
      <c r="J145" s="28">
        <v>10</v>
      </c>
      <c r="K145" s="28">
        <v>5</v>
      </c>
      <c r="L145" s="28">
        <v>5</v>
      </c>
      <c r="M145" s="28"/>
      <c r="N145" s="28">
        <v>10</v>
      </c>
      <c r="O145" s="28"/>
      <c r="P145" s="28"/>
      <c r="Q145" s="5"/>
      <c r="R145" s="5"/>
      <c r="S145" s="5"/>
      <c r="T145" s="5"/>
      <c r="U145" s="5"/>
      <c r="V145" s="5"/>
      <c r="W145" s="28"/>
      <c r="X145" s="28">
        <v>3</v>
      </c>
      <c r="Y145" s="28"/>
      <c r="Z145" s="5"/>
      <c r="AA145" s="5"/>
      <c r="AB145" s="28"/>
      <c r="AC145" s="28"/>
      <c r="AD145" s="11"/>
      <c r="AE145" s="5"/>
      <c r="AF145" s="5"/>
      <c r="AG145" s="5"/>
      <c r="AH145" s="5"/>
      <c r="AI145" s="5"/>
      <c r="AJ145" s="5"/>
      <c r="AK145" s="5"/>
      <c r="AL145" s="5"/>
      <c r="AM145" s="5"/>
      <c r="AN145" s="17"/>
      <c r="AO145" s="5"/>
      <c r="AP145" s="5"/>
      <c r="AQ145" s="5"/>
      <c r="AR145" s="5"/>
      <c r="AS145" s="5">
        <v>10</v>
      </c>
      <c r="AT145" s="5">
        <v>10</v>
      </c>
      <c r="AU145" s="5">
        <v>15</v>
      </c>
      <c r="AV145" s="5">
        <v>15</v>
      </c>
      <c r="AW145" s="5">
        <v>10</v>
      </c>
      <c r="AX145" s="5"/>
      <c r="AY145" s="5"/>
      <c r="AZ145" s="28"/>
      <c r="BA145" s="5"/>
      <c r="BB145" s="5"/>
      <c r="BC145" s="5"/>
      <c r="BD145" s="5">
        <v>10</v>
      </c>
      <c r="BE145" s="5">
        <v>10</v>
      </c>
      <c r="BF145" s="28"/>
      <c r="BG145" s="28"/>
      <c r="BH145" s="5"/>
      <c r="BI145" s="5">
        <v>75</v>
      </c>
      <c r="BJ145" s="5">
        <f t="shared" si="6"/>
        <v>215</v>
      </c>
      <c r="BK145" s="42" t="s">
        <v>24</v>
      </c>
      <c r="BL145" s="42"/>
      <c r="BM145" s="51"/>
    </row>
    <row r="146" spans="1:65" s="9" customFormat="1" ht="11.25" hidden="1">
      <c r="A146" s="43"/>
      <c r="B146" s="9" t="str">
        <f>"GOLYÓSTOLL (ZEBRA N5200)"</f>
        <v>GOLYÓSTOLL (ZEBRA N5200)</v>
      </c>
      <c r="D146" s="21" t="s">
        <v>22</v>
      </c>
      <c r="E146" s="27"/>
      <c r="F146" s="27"/>
      <c r="G146" s="4"/>
      <c r="H146" s="34"/>
      <c r="I146" s="27"/>
      <c r="J146" s="27"/>
      <c r="K146" s="27"/>
      <c r="L146" s="27"/>
      <c r="M146" s="27"/>
      <c r="N146" s="27"/>
      <c r="O146" s="27"/>
      <c r="P146" s="27"/>
      <c r="Q146" s="4"/>
      <c r="R146" s="4"/>
      <c r="S146" s="4"/>
      <c r="T146" s="4"/>
      <c r="U146" s="4"/>
      <c r="V146" s="4"/>
      <c r="W146" s="27"/>
      <c r="X146" s="27"/>
      <c r="Y146" s="27"/>
      <c r="Z146" s="4"/>
      <c r="AA146" s="4"/>
      <c r="AB146" s="27"/>
      <c r="AC146" s="27"/>
      <c r="AD146" s="10"/>
      <c r="AE146" s="4"/>
      <c r="AF146" s="4"/>
      <c r="AG146" s="4"/>
      <c r="AH146" s="4"/>
      <c r="AI146" s="4"/>
      <c r="AJ146" s="4"/>
      <c r="AK146" s="4"/>
      <c r="AL146" s="4"/>
      <c r="AM146" s="4"/>
      <c r="AN146" s="17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27"/>
      <c r="BA146" s="4"/>
      <c r="BB146" s="4"/>
      <c r="BC146" s="4"/>
      <c r="BD146" s="4"/>
      <c r="BE146" s="4"/>
      <c r="BF146" s="27"/>
      <c r="BG146" s="27"/>
      <c r="BH146" s="4"/>
      <c r="BI146" s="4"/>
      <c r="BJ146" s="5">
        <f t="shared" si="6"/>
        <v>0</v>
      </c>
      <c r="BK146" s="42" t="s">
        <v>22</v>
      </c>
      <c r="BL146" s="42"/>
      <c r="BM146" s="51"/>
    </row>
    <row r="147" spans="1:65" s="9" customFormat="1" ht="11.25" hidden="1">
      <c r="A147" s="43"/>
      <c r="B147" s="9" t="str">
        <f>"GOLYÓSTOLL (ZEBRA RUBBER 101)"</f>
        <v>GOLYÓSTOLL (ZEBRA RUBBER 101)</v>
      </c>
      <c r="D147" s="21" t="s">
        <v>22</v>
      </c>
      <c r="E147" s="27"/>
      <c r="F147" s="27"/>
      <c r="G147" s="4"/>
      <c r="H147" s="34"/>
      <c r="I147" s="27"/>
      <c r="J147" s="27"/>
      <c r="K147" s="27"/>
      <c r="L147" s="27"/>
      <c r="M147" s="27"/>
      <c r="N147" s="27"/>
      <c r="O147" s="27"/>
      <c r="P147" s="27"/>
      <c r="Q147" s="4"/>
      <c r="R147" s="4"/>
      <c r="S147" s="4"/>
      <c r="T147" s="4"/>
      <c r="U147" s="4"/>
      <c r="V147" s="4"/>
      <c r="W147" s="27"/>
      <c r="X147" s="27"/>
      <c r="Y147" s="27"/>
      <c r="Z147" s="4"/>
      <c r="AA147" s="4"/>
      <c r="AB147" s="27"/>
      <c r="AC147" s="27"/>
      <c r="AD147" s="10"/>
      <c r="AE147" s="4"/>
      <c r="AF147" s="4"/>
      <c r="AG147" s="4"/>
      <c r="AH147" s="4"/>
      <c r="AI147" s="4"/>
      <c r="AJ147" s="4"/>
      <c r="AK147" s="4"/>
      <c r="AL147" s="4"/>
      <c r="AM147" s="4"/>
      <c r="AN147" s="17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27"/>
      <c r="BA147" s="4"/>
      <c r="BB147" s="4"/>
      <c r="BC147" s="4"/>
      <c r="BD147" s="4"/>
      <c r="BE147" s="4"/>
      <c r="BF147" s="27"/>
      <c r="BG147" s="27"/>
      <c r="BH147" s="4"/>
      <c r="BI147" s="4"/>
      <c r="BJ147" s="5">
        <f t="shared" si="6"/>
        <v>0</v>
      </c>
      <c r="BK147" s="42" t="s">
        <v>22</v>
      </c>
      <c r="BL147" s="42"/>
      <c r="BM147" s="51"/>
    </row>
    <row r="148" spans="1:65" s="9" customFormat="1" ht="11.25" hidden="1">
      <c r="A148" s="43"/>
      <c r="B148" s="9" t="str">
        <f aca="true" t="shared" si="7" ref="B148:B153">"GOLYÓSTOLL BETÉT"</f>
        <v>GOLYÓSTOLL BETÉT</v>
      </c>
      <c r="C148" s="9" t="str">
        <f>"4 SZÍNŰ (MINI)"</f>
        <v>4 SZÍNŰ (MINI)</v>
      </c>
      <c r="D148" s="21" t="s">
        <v>22</v>
      </c>
      <c r="E148" s="27"/>
      <c r="F148" s="27"/>
      <c r="G148" s="4"/>
      <c r="H148" s="34"/>
      <c r="I148" s="27"/>
      <c r="J148" s="27"/>
      <c r="K148" s="27"/>
      <c r="L148" s="27"/>
      <c r="M148" s="27"/>
      <c r="N148" s="27"/>
      <c r="O148" s="27"/>
      <c r="P148" s="27"/>
      <c r="Q148" s="4"/>
      <c r="R148" s="4"/>
      <c r="S148" s="4"/>
      <c r="T148" s="4"/>
      <c r="U148" s="4"/>
      <c r="V148" s="4"/>
      <c r="W148" s="27"/>
      <c r="X148" s="27"/>
      <c r="Y148" s="27"/>
      <c r="Z148" s="4"/>
      <c r="AA148" s="4"/>
      <c r="AB148" s="27"/>
      <c r="AC148" s="27"/>
      <c r="AD148" s="10"/>
      <c r="AE148" s="4"/>
      <c r="AF148" s="4"/>
      <c r="AG148" s="4"/>
      <c r="AH148" s="4"/>
      <c r="AI148" s="4"/>
      <c r="AJ148" s="4"/>
      <c r="AK148" s="4"/>
      <c r="AL148" s="4"/>
      <c r="AM148" s="4"/>
      <c r="AN148" s="17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27"/>
      <c r="BA148" s="4"/>
      <c r="BB148" s="4"/>
      <c r="BC148" s="4"/>
      <c r="BD148" s="4"/>
      <c r="BE148" s="4"/>
      <c r="BF148" s="27"/>
      <c r="BG148" s="27"/>
      <c r="BH148" s="4"/>
      <c r="BI148" s="4"/>
      <c r="BJ148" s="5">
        <f t="shared" si="6"/>
        <v>0</v>
      </c>
      <c r="BK148" s="42" t="s">
        <v>22</v>
      </c>
      <c r="BL148" s="42"/>
      <c r="BM148" s="51"/>
    </row>
    <row r="149" spans="1:65" s="9" customFormat="1" ht="11.25" hidden="1">
      <c r="A149" s="43"/>
      <c r="B149" s="9" t="str">
        <f t="shared" si="7"/>
        <v>GOLYÓSTOLL BETÉT</v>
      </c>
      <c r="C149" s="9" t="str">
        <f>"HANDY"</f>
        <v>HANDY</v>
      </c>
      <c r="D149" s="21" t="s">
        <v>22</v>
      </c>
      <c r="E149" s="27"/>
      <c r="F149" s="27"/>
      <c r="G149" s="4"/>
      <c r="H149" s="34"/>
      <c r="I149" s="27"/>
      <c r="J149" s="27"/>
      <c r="K149" s="27"/>
      <c r="L149" s="27"/>
      <c r="M149" s="27"/>
      <c r="N149" s="27"/>
      <c r="O149" s="27"/>
      <c r="P149" s="27"/>
      <c r="Q149" s="4"/>
      <c r="R149" s="4"/>
      <c r="S149" s="4"/>
      <c r="T149" s="4"/>
      <c r="U149" s="4"/>
      <c r="V149" s="4"/>
      <c r="W149" s="27"/>
      <c r="X149" s="27"/>
      <c r="Y149" s="27"/>
      <c r="Z149" s="4"/>
      <c r="AA149" s="4"/>
      <c r="AB149" s="27"/>
      <c r="AC149" s="27"/>
      <c r="AD149" s="10"/>
      <c r="AE149" s="4"/>
      <c r="AF149" s="4"/>
      <c r="AG149" s="4"/>
      <c r="AH149" s="4"/>
      <c r="AI149" s="4"/>
      <c r="AJ149" s="4"/>
      <c r="AK149" s="4"/>
      <c r="AL149" s="4"/>
      <c r="AM149" s="4"/>
      <c r="AN149" s="17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27"/>
      <c r="BA149" s="4"/>
      <c r="BB149" s="4"/>
      <c r="BC149" s="4"/>
      <c r="BD149" s="4"/>
      <c r="BE149" s="4"/>
      <c r="BF149" s="27"/>
      <c r="BG149" s="27"/>
      <c r="BH149" s="4"/>
      <c r="BI149" s="4"/>
      <c r="BJ149" s="5">
        <f t="shared" si="6"/>
        <v>0</v>
      </c>
      <c r="BK149" s="42" t="s">
        <v>22</v>
      </c>
      <c r="BL149" s="42"/>
      <c r="BM149" s="51"/>
    </row>
    <row r="150" spans="1:65" s="9" customFormat="1" ht="11.25" hidden="1">
      <c r="A150" s="43"/>
      <c r="B150" s="9" t="str">
        <f t="shared" si="7"/>
        <v>GOLYÓSTOLL BETÉT</v>
      </c>
      <c r="C150" s="9" t="str">
        <f>"PARKER"</f>
        <v>PARKER</v>
      </c>
      <c r="D150" s="21" t="s">
        <v>22</v>
      </c>
      <c r="E150" s="27"/>
      <c r="F150" s="27"/>
      <c r="G150" s="4"/>
      <c r="H150" s="34"/>
      <c r="I150" s="27"/>
      <c r="J150" s="27"/>
      <c r="K150" s="27"/>
      <c r="L150" s="27"/>
      <c r="M150" s="27"/>
      <c r="N150" s="27"/>
      <c r="O150" s="27"/>
      <c r="P150" s="27"/>
      <c r="Q150" s="4"/>
      <c r="R150" s="4"/>
      <c r="S150" s="4"/>
      <c r="T150" s="4"/>
      <c r="U150" s="4"/>
      <c r="V150" s="4"/>
      <c r="W150" s="27"/>
      <c r="X150" s="27"/>
      <c r="Y150" s="27"/>
      <c r="Z150" s="4"/>
      <c r="AA150" s="4"/>
      <c r="AB150" s="27"/>
      <c r="AC150" s="27"/>
      <c r="AD150" s="10"/>
      <c r="AE150" s="4"/>
      <c r="AF150" s="4"/>
      <c r="AG150" s="4"/>
      <c r="AH150" s="4"/>
      <c r="AI150" s="4"/>
      <c r="AJ150" s="4"/>
      <c r="AK150" s="4"/>
      <c r="AL150" s="4"/>
      <c r="AM150" s="4"/>
      <c r="AN150" s="17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27"/>
      <c r="BA150" s="4"/>
      <c r="BB150" s="4"/>
      <c r="BC150" s="4"/>
      <c r="BD150" s="4"/>
      <c r="BE150" s="4"/>
      <c r="BF150" s="27"/>
      <c r="BG150" s="27"/>
      <c r="BH150" s="4"/>
      <c r="BI150" s="4"/>
      <c r="BJ150" s="5">
        <f t="shared" si="6"/>
        <v>0</v>
      </c>
      <c r="BK150" s="42" t="s">
        <v>22</v>
      </c>
      <c r="BL150" s="42"/>
      <c r="BM150" s="51"/>
    </row>
    <row r="151" spans="1:65" s="9" customFormat="1" ht="11.25" hidden="1">
      <c r="A151" s="43"/>
      <c r="B151" s="9" t="str">
        <f t="shared" si="7"/>
        <v>GOLYÓSTOLL BETÉT</v>
      </c>
      <c r="C151" s="9" t="str">
        <f>"PAX"</f>
        <v>PAX</v>
      </c>
      <c r="D151" s="21" t="s">
        <v>22</v>
      </c>
      <c r="E151" s="27"/>
      <c r="F151" s="27"/>
      <c r="G151" s="4"/>
      <c r="H151" s="34"/>
      <c r="I151" s="27"/>
      <c r="J151" s="27"/>
      <c r="K151" s="27"/>
      <c r="L151" s="27"/>
      <c r="M151" s="27"/>
      <c r="N151" s="27"/>
      <c r="O151" s="27"/>
      <c r="P151" s="27"/>
      <c r="Q151" s="4"/>
      <c r="R151" s="4"/>
      <c r="S151" s="4"/>
      <c r="T151" s="4"/>
      <c r="U151" s="4"/>
      <c r="V151" s="4"/>
      <c r="W151" s="27"/>
      <c r="X151" s="27"/>
      <c r="Y151" s="27"/>
      <c r="Z151" s="4"/>
      <c r="AA151" s="4"/>
      <c r="AB151" s="27"/>
      <c r="AC151" s="27"/>
      <c r="AD151" s="10"/>
      <c r="AE151" s="4"/>
      <c r="AF151" s="4"/>
      <c r="AG151" s="4"/>
      <c r="AH151" s="4"/>
      <c r="AI151" s="4"/>
      <c r="AJ151" s="4"/>
      <c r="AK151" s="4"/>
      <c r="AL151" s="4"/>
      <c r="AM151" s="4"/>
      <c r="AN151" s="17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27"/>
      <c r="BA151" s="4"/>
      <c r="BB151" s="4"/>
      <c r="BC151" s="4"/>
      <c r="BD151" s="4"/>
      <c r="BE151" s="4"/>
      <c r="BF151" s="27"/>
      <c r="BG151" s="27"/>
      <c r="BH151" s="4"/>
      <c r="BI151" s="4"/>
      <c r="BJ151" s="5">
        <f t="shared" si="6"/>
        <v>0</v>
      </c>
      <c r="BK151" s="42" t="s">
        <v>22</v>
      </c>
      <c r="BL151" s="42"/>
      <c r="BM151" s="51"/>
    </row>
    <row r="152" spans="1:65" s="9" customFormat="1" ht="11.25" hidden="1">
      <c r="A152" s="43"/>
      <c r="B152" s="9" t="str">
        <f t="shared" si="7"/>
        <v>GOLYÓSTOLL BETÉT</v>
      </c>
      <c r="C152" s="9" t="str">
        <f>"PENAC (RB 98C 07)"</f>
        <v>PENAC (RB 98C 07)</v>
      </c>
      <c r="D152" s="21" t="s">
        <v>22</v>
      </c>
      <c r="E152" s="27"/>
      <c r="F152" s="27"/>
      <c r="G152" s="4"/>
      <c r="H152" s="34"/>
      <c r="I152" s="27"/>
      <c r="J152" s="27"/>
      <c r="K152" s="27"/>
      <c r="L152" s="27"/>
      <c r="M152" s="27"/>
      <c r="N152" s="27"/>
      <c r="O152" s="27"/>
      <c r="P152" s="27"/>
      <c r="Q152" s="4"/>
      <c r="R152" s="4"/>
      <c r="S152" s="4"/>
      <c r="T152" s="4"/>
      <c r="U152" s="4"/>
      <c r="V152" s="4"/>
      <c r="W152" s="27"/>
      <c r="X152" s="27"/>
      <c r="Y152" s="27"/>
      <c r="Z152" s="4"/>
      <c r="AA152" s="4"/>
      <c r="AB152" s="27"/>
      <c r="AC152" s="27"/>
      <c r="AD152" s="10"/>
      <c r="AE152" s="4"/>
      <c r="AF152" s="4"/>
      <c r="AG152" s="4"/>
      <c r="AH152" s="4"/>
      <c r="AI152" s="4"/>
      <c r="AJ152" s="4"/>
      <c r="AK152" s="4"/>
      <c r="AL152" s="4"/>
      <c r="AM152" s="4"/>
      <c r="AN152" s="17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27"/>
      <c r="BA152" s="4"/>
      <c r="BB152" s="4"/>
      <c r="BC152" s="4"/>
      <c r="BD152" s="4"/>
      <c r="BE152" s="4"/>
      <c r="BF152" s="27"/>
      <c r="BG152" s="27"/>
      <c r="BH152" s="4"/>
      <c r="BI152" s="4"/>
      <c r="BJ152" s="5">
        <f t="shared" si="6"/>
        <v>0</v>
      </c>
      <c r="BK152" s="42" t="s">
        <v>22</v>
      </c>
      <c r="BL152" s="42"/>
      <c r="BM152" s="51"/>
    </row>
    <row r="153" spans="1:65" s="9" customFormat="1" ht="11.25" hidden="1">
      <c r="A153" s="43"/>
      <c r="B153" s="9" t="str">
        <f t="shared" si="7"/>
        <v>GOLYÓSTOLL BETÉT</v>
      </c>
      <c r="C153" s="9" t="str">
        <f>"PILOT"</f>
        <v>PILOT</v>
      </c>
      <c r="D153" s="21" t="s">
        <v>22</v>
      </c>
      <c r="E153" s="27"/>
      <c r="F153" s="27"/>
      <c r="G153" s="4"/>
      <c r="H153" s="34"/>
      <c r="I153" s="27"/>
      <c r="J153" s="27"/>
      <c r="K153" s="27"/>
      <c r="L153" s="27"/>
      <c r="M153" s="27"/>
      <c r="N153" s="27"/>
      <c r="O153" s="27"/>
      <c r="P153" s="27"/>
      <c r="Q153" s="4"/>
      <c r="R153" s="4"/>
      <c r="S153" s="4"/>
      <c r="T153" s="4"/>
      <c r="U153" s="4"/>
      <c r="V153" s="4"/>
      <c r="W153" s="27"/>
      <c r="X153" s="27"/>
      <c r="Y153" s="27"/>
      <c r="Z153" s="4"/>
      <c r="AA153" s="4"/>
      <c r="AB153" s="27"/>
      <c r="AC153" s="27"/>
      <c r="AD153" s="10"/>
      <c r="AE153" s="4"/>
      <c r="AF153" s="4"/>
      <c r="AG153" s="4"/>
      <c r="AH153" s="4"/>
      <c r="AI153" s="4"/>
      <c r="AJ153" s="4"/>
      <c r="AK153" s="4"/>
      <c r="AL153" s="4"/>
      <c r="AM153" s="4"/>
      <c r="AN153" s="17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27"/>
      <c r="BA153" s="4"/>
      <c r="BB153" s="4"/>
      <c r="BC153" s="4"/>
      <c r="BD153" s="4"/>
      <c r="BE153" s="4"/>
      <c r="BF153" s="27"/>
      <c r="BG153" s="27"/>
      <c r="BH153" s="4"/>
      <c r="BI153" s="4"/>
      <c r="BJ153" s="5">
        <f t="shared" si="6"/>
        <v>0</v>
      </c>
      <c r="BK153" s="42" t="s">
        <v>22</v>
      </c>
      <c r="BL153" s="42"/>
      <c r="BM153" s="51"/>
    </row>
    <row r="154" spans="1:65" s="8" customFormat="1" ht="11.25">
      <c r="A154" s="44" t="s">
        <v>219</v>
      </c>
      <c r="B154" s="9" t="s">
        <v>119</v>
      </c>
      <c r="C154" s="9" t="s">
        <v>32</v>
      </c>
      <c r="D154" s="21" t="s">
        <v>22</v>
      </c>
      <c r="E154" s="27">
        <v>2</v>
      </c>
      <c r="F154" s="27">
        <v>5</v>
      </c>
      <c r="G154" s="4"/>
      <c r="H154" s="34"/>
      <c r="I154" s="27"/>
      <c r="J154" s="27"/>
      <c r="K154" s="27"/>
      <c r="L154" s="27"/>
      <c r="M154" s="27"/>
      <c r="N154" s="27"/>
      <c r="O154" s="27"/>
      <c r="P154" s="27"/>
      <c r="Q154" s="4"/>
      <c r="R154" s="4"/>
      <c r="S154" s="4"/>
      <c r="T154" s="4"/>
      <c r="U154" s="4"/>
      <c r="V154" s="4"/>
      <c r="W154" s="27"/>
      <c r="X154" s="27">
        <v>2</v>
      </c>
      <c r="Y154" s="27"/>
      <c r="Z154" s="4"/>
      <c r="AA154" s="4"/>
      <c r="AB154" s="27"/>
      <c r="AC154" s="27"/>
      <c r="AD154" s="10"/>
      <c r="AE154" s="4"/>
      <c r="AF154" s="4"/>
      <c r="AG154" s="4"/>
      <c r="AH154" s="4"/>
      <c r="AI154" s="4"/>
      <c r="AJ154" s="4"/>
      <c r="AK154" s="4"/>
      <c r="AL154" s="4"/>
      <c r="AM154" s="4"/>
      <c r="AN154" s="17"/>
      <c r="AO154" s="4"/>
      <c r="AP154" s="4"/>
      <c r="AQ154" s="4"/>
      <c r="AR154" s="4"/>
      <c r="AS154" s="4"/>
      <c r="AT154" s="4"/>
      <c r="AU154" s="4"/>
      <c r="AV154" s="4">
        <v>1</v>
      </c>
      <c r="AW154" s="4">
        <v>1</v>
      </c>
      <c r="AX154" s="4"/>
      <c r="AY154" s="4"/>
      <c r="AZ154" s="27"/>
      <c r="BA154" s="4"/>
      <c r="BB154" s="4"/>
      <c r="BC154" s="4"/>
      <c r="BD154" s="4"/>
      <c r="BE154" s="4"/>
      <c r="BF154" s="27"/>
      <c r="BG154" s="27"/>
      <c r="BH154" s="4"/>
      <c r="BI154" s="4"/>
      <c r="BJ154" s="5">
        <f t="shared" si="6"/>
        <v>11</v>
      </c>
      <c r="BK154" s="42" t="s">
        <v>22</v>
      </c>
      <c r="BL154" s="42"/>
      <c r="BM154" s="13"/>
    </row>
    <row r="155" spans="1:67" s="9" customFormat="1" ht="11.25" hidden="1">
      <c r="A155" s="43"/>
      <c r="B155" s="9" t="str">
        <f>"GOLYÓSTOLL BETÉT"</f>
        <v>GOLYÓSTOLL BETÉT</v>
      </c>
      <c r="C155" s="9" t="str">
        <f>"RÉZ"</f>
        <v>RÉZ</v>
      </c>
      <c r="D155" s="21" t="s">
        <v>22</v>
      </c>
      <c r="E155" s="27"/>
      <c r="F155" s="27"/>
      <c r="G155" s="4"/>
      <c r="H155" s="34"/>
      <c r="I155" s="27"/>
      <c r="J155" s="27"/>
      <c r="K155" s="27"/>
      <c r="L155" s="27"/>
      <c r="M155" s="27"/>
      <c r="N155" s="27"/>
      <c r="O155" s="27"/>
      <c r="P155" s="27"/>
      <c r="Q155" s="4"/>
      <c r="R155" s="4"/>
      <c r="S155" s="4"/>
      <c r="T155" s="4"/>
      <c r="U155" s="4"/>
      <c r="V155" s="4"/>
      <c r="W155" s="27"/>
      <c r="X155" s="27"/>
      <c r="Y155" s="27"/>
      <c r="Z155" s="4"/>
      <c r="AA155" s="4"/>
      <c r="AB155" s="27"/>
      <c r="AC155" s="27"/>
      <c r="AD155" s="10"/>
      <c r="AE155" s="4"/>
      <c r="AF155" s="4"/>
      <c r="AG155" s="4"/>
      <c r="AH155" s="4"/>
      <c r="AI155" s="4"/>
      <c r="AJ155" s="4"/>
      <c r="AK155" s="4"/>
      <c r="AL155" s="4"/>
      <c r="AM155" s="4"/>
      <c r="AN155" s="17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27"/>
      <c r="BA155" s="4"/>
      <c r="BB155" s="4"/>
      <c r="BC155" s="4"/>
      <c r="BD155" s="4"/>
      <c r="BE155" s="4"/>
      <c r="BF155" s="27"/>
      <c r="BG155" s="27"/>
      <c r="BH155" s="4"/>
      <c r="BI155" s="4"/>
      <c r="BJ155" s="5">
        <f t="shared" si="6"/>
        <v>0</v>
      </c>
      <c r="BK155" s="42" t="s">
        <v>22</v>
      </c>
      <c r="BL155" s="42"/>
      <c r="BM155" s="51"/>
      <c r="BO155" s="8"/>
    </row>
    <row r="156" spans="1:67" s="8" customFormat="1" ht="11.25" hidden="1">
      <c r="A156" s="44"/>
      <c r="B156" s="9" t="str">
        <f>"GOLYÓSTOLL BETÉT"</f>
        <v>GOLYÓSTOLL BETÉT</v>
      </c>
      <c r="C156" s="9" t="str">
        <f>"X-20"</f>
        <v>X-20</v>
      </c>
      <c r="D156" s="21" t="s">
        <v>22</v>
      </c>
      <c r="E156" s="28"/>
      <c r="F156" s="28"/>
      <c r="G156" s="5"/>
      <c r="H156" s="34"/>
      <c r="I156" s="28"/>
      <c r="J156" s="28"/>
      <c r="K156" s="28"/>
      <c r="L156" s="28"/>
      <c r="M156" s="28"/>
      <c r="N156" s="28"/>
      <c r="O156" s="28"/>
      <c r="P156" s="28"/>
      <c r="Q156" s="5"/>
      <c r="R156" s="5"/>
      <c r="S156" s="5"/>
      <c r="T156" s="5"/>
      <c r="U156" s="5"/>
      <c r="V156" s="5"/>
      <c r="W156" s="28"/>
      <c r="X156" s="28"/>
      <c r="Y156" s="28"/>
      <c r="Z156" s="5"/>
      <c r="AA156" s="5"/>
      <c r="AB156" s="28"/>
      <c r="AC156" s="28"/>
      <c r="AD156" s="11"/>
      <c r="AE156" s="5"/>
      <c r="AF156" s="5"/>
      <c r="AG156" s="5"/>
      <c r="AH156" s="5"/>
      <c r="AI156" s="5"/>
      <c r="AJ156" s="5"/>
      <c r="AK156" s="5"/>
      <c r="AL156" s="5"/>
      <c r="AM156" s="5"/>
      <c r="AN156" s="17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28"/>
      <c r="BA156" s="5"/>
      <c r="BB156" s="5"/>
      <c r="BC156" s="5"/>
      <c r="BD156" s="5"/>
      <c r="BE156" s="5"/>
      <c r="BF156" s="28"/>
      <c r="BG156" s="28"/>
      <c r="BH156" s="5"/>
      <c r="BI156" s="5"/>
      <c r="BJ156" s="5">
        <f t="shared" si="6"/>
        <v>0</v>
      </c>
      <c r="BK156" s="42" t="s">
        <v>22</v>
      </c>
      <c r="BL156" s="42"/>
      <c r="BM156" s="13"/>
      <c r="BO156" s="9"/>
    </row>
    <row r="157" spans="1:65" s="9" customFormat="1" ht="11.25" hidden="1">
      <c r="A157" s="43"/>
      <c r="B157" s="9" t="str">
        <f>"GOLYÓSTOLL BETÉT (ZSELÉS)"</f>
        <v>GOLYÓSTOLL BETÉT (ZSELÉS)</v>
      </c>
      <c r="C157" s="9" t="str">
        <f>"PARKER"</f>
        <v>PARKER</v>
      </c>
      <c r="D157" s="21" t="s">
        <v>22</v>
      </c>
      <c r="E157" s="27"/>
      <c r="F157" s="27"/>
      <c r="G157" s="4"/>
      <c r="H157" s="34"/>
      <c r="I157" s="27"/>
      <c r="J157" s="27"/>
      <c r="K157" s="27"/>
      <c r="L157" s="27"/>
      <c r="M157" s="27"/>
      <c r="N157" s="27"/>
      <c r="O157" s="27"/>
      <c r="P157" s="27"/>
      <c r="Q157" s="4"/>
      <c r="R157" s="4"/>
      <c r="S157" s="4"/>
      <c r="T157" s="4"/>
      <c r="U157" s="4"/>
      <c r="V157" s="4"/>
      <c r="W157" s="27"/>
      <c r="X157" s="27"/>
      <c r="Y157" s="27"/>
      <c r="Z157" s="4"/>
      <c r="AA157" s="4"/>
      <c r="AB157" s="27"/>
      <c r="AC157" s="27"/>
      <c r="AD157" s="10"/>
      <c r="AE157" s="4"/>
      <c r="AF157" s="4"/>
      <c r="AG157" s="4"/>
      <c r="AH157" s="4"/>
      <c r="AI157" s="4"/>
      <c r="AJ157" s="4"/>
      <c r="AK157" s="4"/>
      <c r="AL157" s="4"/>
      <c r="AM157" s="4"/>
      <c r="AN157" s="17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27"/>
      <c r="BA157" s="4"/>
      <c r="BB157" s="4"/>
      <c r="BC157" s="4"/>
      <c r="BD157" s="4"/>
      <c r="BE157" s="4"/>
      <c r="BF157" s="27"/>
      <c r="BG157" s="27"/>
      <c r="BH157" s="4"/>
      <c r="BI157" s="4"/>
      <c r="BJ157" s="5">
        <f t="shared" si="6"/>
        <v>0</v>
      </c>
      <c r="BK157" s="42" t="s">
        <v>22</v>
      </c>
      <c r="BL157" s="42"/>
      <c r="BM157" s="51"/>
    </row>
    <row r="158" spans="1:65" s="9" customFormat="1" ht="11.25" hidden="1">
      <c r="A158" s="43"/>
      <c r="B158" s="9" t="str">
        <f>"GYORS MASNI"</f>
        <v>GYORS MASNI</v>
      </c>
      <c r="D158" s="21" t="s">
        <v>22</v>
      </c>
      <c r="E158" s="27"/>
      <c r="F158" s="27"/>
      <c r="G158" s="4"/>
      <c r="H158" s="34"/>
      <c r="I158" s="27"/>
      <c r="J158" s="27"/>
      <c r="K158" s="27"/>
      <c r="L158" s="27"/>
      <c r="M158" s="27"/>
      <c r="N158" s="27"/>
      <c r="O158" s="27"/>
      <c r="P158" s="27"/>
      <c r="Q158" s="4"/>
      <c r="R158" s="4"/>
      <c r="S158" s="4"/>
      <c r="T158" s="4"/>
      <c r="U158" s="4"/>
      <c r="V158" s="4"/>
      <c r="W158" s="27"/>
      <c r="X158" s="27"/>
      <c r="Y158" s="27"/>
      <c r="Z158" s="4"/>
      <c r="AA158" s="4"/>
      <c r="AB158" s="27"/>
      <c r="AC158" s="27"/>
      <c r="AD158" s="10"/>
      <c r="AE158" s="4"/>
      <c r="AF158" s="4"/>
      <c r="AG158" s="4"/>
      <c r="AH158" s="4"/>
      <c r="AI158" s="4"/>
      <c r="AJ158" s="4"/>
      <c r="AK158" s="4"/>
      <c r="AL158" s="4"/>
      <c r="AM158" s="4"/>
      <c r="AN158" s="17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27"/>
      <c r="BA158" s="4"/>
      <c r="BB158" s="4"/>
      <c r="BC158" s="4"/>
      <c r="BD158" s="4"/>
      <c r="BE158" s="4"/>
      <c r="BF158" s="27"/>
      <c r="BG158" s="27"/>
      <c r="BH158" s="4"/>
      <c r="BI158" s="4"/>
      <c r="BJ158" s="5">
        <f t="shared" si="6"/>
        <v>0</v>
      </c>
      <c r="BK158" s="42" t="s">
        <v>22</v>
      </c>
      <c r="BL158" s="42"/>
      <c r="BM158" s="51"/>
    </row>
    <row r="159" spans="1:65" s="9" customFormat="1" ht="11.25">
      <c r="A159" s="43" t="s">
        <v>220</v>
      </c>
      <c r="B159" s="9" t="str">
        <f>"FÜZET (REGISZTERES)"</f>
        <v>FÜZET (REGISZTERES)</v>
      </c>
      <c r="C159" s="9" t="str">
        <f>"A/4"</f>
        <v>A/4</v>
      </c>
      <c r="D159" s="21" t="s">
        <v>22</v>
      </c>
      <c r="E159" s="28"/>
      <c r="F159" s="28"/>
      <c r="G159" s="5"/>
      <c r="H159" s="34"/>
      <c r="I159" s="28"/>
      <c r="J159" s="28"/>
      <c r="K159" s="28"/>
      <c r="L159" s="28"/>
      <c r="M159" s="28"/>
      <c r="N159" s="28"/>
      <c r="O159" s="28"/>
      <c r="P159" s="28"/>
      <c r="Q159" s="5"/>
      <c r="R159" s="5"/>
      <c r="S159" s="5"/>
      <c r="T159" s="5"/>
      <c r="U159" s="5"/>
      <c r="V159" s="5"/>
      <c r="W159" s="28"/>
      <c r="X159" s="28"/>
      <c r="Y159" s="28"/>
      <c r="Z159" s="5"/>
      <c r="AA159" s="5"/>
      <c r="AB159" s="28"/>
      <c r="AC159" s="28"/>
      <c r="AD159" s="11"/>
      <c r="AE159" s="5"/>
      <c r="AF159" s="5"/>
      <c r="AG159" s="5"/>
      <c r="AH159" s="5"/>
      <c r="AI159" s="5"/>
      <c r="AJ159" s="5"/>
      <c r="AK159" s="5"/>
      <c r="AL159" s="5"/>
      <c r="AM159" s="5"/>
      <c r="AN159" s="17"/>
      <c r="AO159" s="5"/>
      <c r="AP159" s="5"/>
      <c r="AQ159" s="5"/>
      <c r="AR159" s="5"/>
      <c r="AS159" s="5"/>
      <c r="AT159" s="5"/>
      <c r="AU159" s="5">
        <v>1</v>
      </c>
      <c r="AV159" s="5"/>
      <c r="AW159" s="5"/>
      <c r="AX159" s="5"/>
      <c r="AY159" s="5"/>
      <c r="AZ159" s="28"/>
      <c r="BA159" s="5"/>
      <c r="BB159" s="5"/>
      <c r="BC159" s="5"/>
      <c r="BD159" s="5"/>
      <c r="BE159" s="5"/>
      <c r="BF159" s="28"/>
      <c r="BG159" s="28"/>
      <c r="BH159" s="5"/>
      <c r="BI159" s="5"/>
      <c r="BJ159" s="5">
        <f t="shared" si="6"/>
        <v>1</v>
      </c>
      <c r="BK159" s="42" t="s">
        <v>22</v>
      </c>
      <c r="BL159" s="42"/>
      <c r="BM159" s="51"/>
    </row>
    <row r="160" spans="1:65" s="9" customFormat="1" ht="11.25">
      <c r="A160" s="43" t="s">
        <v>221</v>
      </c>
      <c r="B160" s="9" t="s">
        <v>36</v>
      </c>
      <c r="C160" s="9" t="str">
        <f>"A/4"</f>
        <v>A/4</v>
      </c>
      <c r="D160" s="21" t="s">
        <v>22</v>
      </c>
      <c r="E160" s="28"/>
      <c r="F160" s="28">
        <v>3</v>
      </c>
      <c r="G160" s="5">
        <v>5</v>
      </c>
      <c r="H160" s="34"/>
      <c r="I160" s="28"/>
      <c r="J160" s="28"/>
      <c r="K160" s="28"/>
      <c r="L160" s="28"/>
      <c r="M160" s="28"/>
      <c r="N160" s="28"/>
      <c r="O160" s="28"/>
      <c r="P160" s="28"/>
      <c r="Q160" s="5"/>
      <c r="R160" s="5"/>
      <c r="S160" s="5"/>
      <c r="T160" s="5"/>
      <c r="U160" s="5"/>
      <c r="V160" s="5"/>
      <c r="W160" s="28"/>
      <c r="X160" s="28">
        <v>2</v>
      </c>
      <c r="Y160" s="28"/>
      <c r="Z160" s="5"/>
      <c r="AA160" s="5"/>
      <c r="AB160" s="28"/>
      <c r="AC160" s="28"/>
      <c r="AD160" s="11"/>
      <c r="AE160" s="5"/>
      <c r="AF160" s="5"/>
      <c r="AG160" s="5"/>
      <c r="AH160" s="5"/>
      <c r="AI160" s="5"/>
      <c r="AJ160" s="5"/>
      <c r="AK160" s="5"/>
      <c r="AL160" s="5"/>
      <c r="AM160" s="5"/>
      <c r="AN160" s="17"/>
      <c r="AO160" s="5"/>
      <c r="AP160" s="5"/>
      <c r="AQ160" s="5"/>
      <c r="AR160" s="5"/>
      <c r="AS160" s="5"/>
      <c r="AT160" s="5"/>
      <c r="AU160" s="5"/>
      <c r="AV160" s="5">
        <v>3</v>
      </c>
      <c r="AW160" s="5"/>
      <c r="AX160" s="5"/>
      <c r="AY160" s="5"/>
      <c r="AZ160" s="28"/>
      <c r="BA160" s="5"/>
      <c r="BB160" s="5"/>
      <c r="BC160" s="5"/>
      <c r="BD160" s="5"/>
      <c r="BE160" s="5"/>
      <c r="BF160" s="28"/>
      <c r="BG160" s="28"/>
      <c r="BH160" s="5"/>
      <c r="BI160" s="5"/>
      <c r="BJ160" s="5">
        <f t="shared" si="6"/>
        <v>13</v>
      </c>
      <c r="BK160" s="42" t="s">
        <v>22</v>
      </c>
      <c r="BL160" s="42"/>
      <c r="BM160" s="51"/>
    </row>
    <row r="161" spans="1:65" s="8" customFormat="1" ht="11.25">
      <c r="A161" s="44" t="s">
        <v>222</v>
      </c>
      <c r="B161" s="9" t="s">
        <v>133</v>
      </c>
      <c r="C161" s="9" t="s">
        <v>32</v>
      </c>
      <c r="D161" s="21" t="s">
        <v>22</v>
      </c>
      <c r="E161" s="27"/>
      <c r="F161" s="27"/>
      <c r="G161" s="4"/>
      <c r="H161" s="34"/>
      <c r="I161" s="27"/>
      <c r="J161" s="27"/>
      <c r="K161" s="27"/>
      <c r="L161" s="27"/>
      <c r="M161" s="27"/>
      <c r="N161" s="27"/>
      <c r="O161" s="27"/>
      <c r="P161" s="27"/>
      <c r="Q161" s="4"/>
      <c r="R161" s="4"/>
      <c r="S161" s="4"/>
      <c r="T161" s="4"/>
      <c r="U161" s="4"/>
      <c r="V161" s="4"/>
      <c r="W161" s="27"/>
      <c r="X161" s="27"/>
      <c r="Y161" s="27"/>
      <c r="Z161" s="4"/>
      <c r="AA161" s="4"/>
      <c r="AB161" s="27"/>
      <c r="AC161" s="27"/>
      <c r="AD161" s="10"/>
      <c r="AE161" s="4"/>
      <c r="AF161" s="4"/>
      <c r="AG161" s="4"/>
      <c r="AH161" s="4"/>
      <c r="AI161" s="4"/>
      <c r="AJ161" s="4"/>
      <c r="AK161" s="4"/>
      <c r="AL161" s="4"/>
      <c r="AM161" s="4"/>
      <c r="AN161" s="17"/>
      <c r="AO161" s="4"/>
      <c r="AP161" s="4"/>
      <c r="AQ161" s="4"/>
      <c r="AR161" s="4"/>
      <c r="AS161" s="4"/>
      <c r="AT161" s="4"/>
      <c r="AU161" s="4"/>
      <c r="AV161" s="4"/>
      <c r="AW161" s="4"/>
      <c r="AX161" s="4">
        <v>1</v>
      </c>
      <c r="AY161" s="4">
        <v>1</v>
      </c>
      <c r="AZ161" s="27"/>
      <c r="BA161" s="4"/>
      <c r="BB161" s="4"/>
      <c r="BC161" s="4"/>
      <c r="BD161" s="4"/>
      <c r="BE161" s="4"/>
      <c r="BF161" s="27"/>
      <c r="BG161" s="27"/>
      <c r="BH161" s="4"/>
      <c r="BI161" s="4"/>
      <c r="BJ161" s="5">
        <f t="shared" si="6"/>
        <v>2</v>
      </c>
      <c r="BK161" s="42" t="s">
        <v>22</v>
      </c>
      <c r="BL161" s="42"/>
      <c r="BM161" s="13"/>
    </row>
    <row r="162" spans="1:67" s="9" customFormat="1" ht="11.25" hidden="1">
      <c r="A162" s="43"/>
      <c r="B162" s="9" t="str">
        <f>"GYURMA"</f>
        <v>GYURMA</v>
      </c>
      <c r="D162" s="21" t="s">
        <v>22</v>
      </c>
      <c r="E162" s="27"/>
      <c r="F162" s="27"/>
      <c r="G162" s="4"/>
      <c r="H162" s="34"/>
      <c r="I162" s="27"/>
      <c r="J162" s="27"/>
      <c r="K162" s="27"/>
      <c r="L162" s="27"/>
      <c r="M162" s="27"/>
      <c r="N162" s="27"/>
      <c r="O162" s="27"/>
      <c r="P162" s="27"/>
      <c r="Q162" s="4"/>
      <c r="R162" s="4"/>
      <c r="S162" s="4"/>
      <c r="T162" s="4"/>
      <c r="U162" s="4"/>
      <c r="V162" s="4"/>
      <c r="W162" s="27"/>
      <c r="X162" s="27"/>
      <c r="Y162" s="27"/>
      <c r="Z162" s="4"/>
      <c r="AA162" s="4"/>
      <c r="AB162" s="27"/>
      <c r="AC162" s="27"/>
      <c r="AD162" s="10"/>
      <c r="AE162" s="4"/>
      <c r="AF162" s="4"/>
      <c r="AG162" s="4"/>
      <c r="AH162" s="4"/>
      <c r="AI162" s="4"/>
      <c r="AJ162" s="4"/>
      <c r="AK162" s="4"/>
      <c r="AL162" s="4"/>
      <c r="AM162" s="4"/>
      <c r="AN162" s="17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27"/>
      <c r="BA162" s="4"/>
      <c r="BB162" s="4"/>
      <c r="BC162" s="4"/>
      <c r="BD162" s="4"/>
      <c r="BE162" s="4"/>
      <c r="BF162" s="27"/>
      <c r="BG162" s="27"/>
      <c r="BH162" s="4"/>
      <c r="BI162" s="4"/>
      <c r="BJ162" s="5">
        <f t="shared" si="6"/>
        <v>0</v>
      </c>
      <c r="BK162" s="42" t="s">
        <v>22</v>
      </c>
      <c r="BL162" s="42"/>
      <c r="BM162" s="51"/>
      <c r="BO162" s="8"/>
    </row>
    <row r="163" spans="1:67" s="8" customFormat="1" ht="11.25" hidden="1">
      <c r="A163" s="44"/>
      <c r="B163" s="9" t="str">
        <f>"GYŰRŰSKÖNYV"</f>
        <v>GYŰRŰSKÖNYV</v>
      </c>
      <c r="C163" s="9" t="str">
        <f>"A/5"</f>
        <v>A/5</v>
      </c>
      <c r="D163" s="21" t="s">
        <v>22</v>
      </c>
      <c r="E163" s="28"/>
      <c r="F163" s="28"/>
      <c r="G163" s="5"/>
      <c r="H163" s="34"/>
      <c r="I163" s="28"/>
      <c r="J163" s="28"/>
      <c r="K163" s="28"/>
      <c r="L163" s="28"/>
      <c r="M163" s="28"/>
      <c r="N163" s="28"/>
      <c r="O163" s="28"/>
      <c r="P163" s="28"/>
      <c r="Q163" s="5"/>
      <c r="R163" s="5"/>
      <c r="S163" s="5"/>
      <c r="T163" s="5"/>
      <c r="U163" s="5"/>
      <c r="V163" s="5"/>
      <c r="W163" s="28"/>
      <c r="X163" s="28"/>
      <c r="Y163" s="28"/>
      <c r="Z163" s="5"/>
      <c r="AA163" s="5"/>
      <c r="AB163" s="28"/>
      <c r="AC163" s="28"/>
      <c r="AD163" s="11"/>
      <c r="AE163" s="5"/>
      <c r="AF163" s="5"/>
      <c r="AG163" s="5"/>
      <c r="AH163" s="5"/>
      <c r="AI163" s="5"/>
      <c r="AJ163" s="5"/>
      <c r="AK163" s="5"/>
      <c r="AL163" s="5"/>
      <c r="AM163" s="5"/>
      <c r="AN163" s="17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28"/>
      <c r="BA163" s="5"/>
      <c r="BB163" s="5"/>
      <c r="BC163" s="5"/>
      <c r="BD163" s="5"/>
      <c r="BE163" s="5"/>
      <c r="BF163" s="28"/>
      <c r="BG163" s="28"/>
      <c r="BH163" s="5"/>
      <c r="BI163" s="5"/>
      <c r="BJ163" s="5">
        <f t="shared" si="6"/>
        <v>0</v>
      </c>
      <c r="BK163" s="42" t="s">
        <v>22</v>
      </c>
      <c r="BL163" s="42"/>
      <c r="BM163" s="13"/>
      <c r="BO163" s="9"/>
    </row>
    <row r="164" spans="1:65" s="9" customFormat="1" ht="11.25" hidden="1">
      <c r="A164" s="43"/>
      <c r="B164" s="9" t="str">
        <f>"HATÁRIDŐNAPLÓ A/5"</f>
        <v>HATÁRIDŐNAPLÓ A/5</v>
      </c>
      <c r="C164" s="9" t="str">
        <f>"3101"</f>
        <v>3101</v>
      </c>
      <c r="D164" s="21" t="s">
        <v>22</v>
      </c>
      <c r="E164" s="27"/>
      <c r="F164" s="27"/>
      <c r="G164" s="4"/>
      <c r="H164" s="34"/>
      <c r="I164" s="27"/>
      <c r="J164" s="27"/>
      <c r="K164" s="27"/>
      <c r="L164" s="27"/>
      <c r="M164" s="27"/>
      <c r="N164" s="27"/>
      <c r="O164" s="27"/>
      <c r="P164" s="27"/>
      <c r="Q164" s="4"/>
      <c r="R164" s="4"/>
      <c r="S164" s="4"/>
      <c r="T164" s="4"/>
      <c r="U164" s="4"/>
      <c r="V164" s="4"/>
      <c r="W164" s="27"/>
      <c r="X164" s="27"/>
      <c r="Y164" s="27"/>
      <c r="Z164" s="4"/>
      <c r="AA164" s="4"/>
      <c r="AB164" s="27"/>
      <c r="AC164" s="27"/>
      <c r="AD164" s="10"/>
      <c r="AE164" s="4"/>
      <c r="AF164" s="4"/>
      <c r="AG164" s="4"/>
      <c r="AH164" s="4"/>
      <c r="AI164" s="4"/>
      <c r="AJ164" s="4"/>
      <c r="AK164" s="4"/>
      <c r="AL164" s="4"/>
      <c r="AM164" s="4"/>
      <c r="AN164" s="17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27"/>
      <c r="BA164" s="4"/>
      <c r="BB164" s="4"/>
      <c r="BC164" s="4"/>
      <c r="BD164" s="4"/>
      <c r="BE164" s="4"/>
      <c r="BF164" s="27"/>
      <c r="BG164" s="27"/>
      <c r="BH164" s="4"/>
      <c r="BI164" s="4"/>
      <c r="BJ164" s="5">
        <f t="shared" si="6"/>
        <v>0</v>
      </c>
      <c r="BK164" s="42" t="s">
        <v>22</v>
      </c>
      <c r="BL164" s="42"/>
      <c r="BM164" s="51"/>
    </row>
    <row r="165" spans="1:65" s="9" customFormat="1" ht="11.25" hidden="1">
      <c r="A165" s="43"/>
      <c r="B165" s="9" t="str">
        <f>"HATÁROZATOK KÖNYVE"</f>
        <v>HATÁROZATOK KÖNYVE</v>
      </c>
      <c r="D165" s="21" t="s">
        <v>22</v>
      </c>
      <c r="E165" s="27"/>
      <c r="F165" s="27"/>
      <c r="G165" s="4"/>
      <c r="H165" s="34"/>
      <c r="I165" s="27"/>
      <c r="J165" s="27"/>
      <c r="K165" s="27"/>
      <c r="L165" s="27"/>
      <c r="M165" s="27"/>
      <c r="N165" s="27"/>
      <c r="O165" s="27"/>
      <c r="P165" s="27"/>
      <c r="Q165" s="4"/>
      <c r="R165" s="4"/>
      <c r="S165" s="4"/>
      <c r="T165" s="4"/>
      <c r="U165" s="4"/>
      <c r="V165" s="4"/>
      <c r="W165" s="27"/>
      <c r="X165" s="27"/>
      <c r="Y165" s="27"/>
      <c r="Z165" s="4"/>
      <c r="AA165" s="4"/>
      <c r="AB165" s="27"/>
      <c r="AC165" s="27"/>
      <c r="AD165" s="10"/>
      <c r="AE165" s="4"/>
      <c r="AF165" s="4"/>
      <c r="AG165" s="4"/>
      <c r="AH165" s="4"/>
      <c r="AI165" s="4"/>
      <c r="AJ165" s="4"/>
      <c r="AK165" s="4"/>
      <c r="AL165" s="4"/>
      <c r="AM165" s="4"/>
      <c r="AN165" s="17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27"/>
      <c r="BA165" s="4"/>
      <c r="BB165" s="4"/>
      <c r="BC165" s="4"/>
      <c r="BD165" s="4"/>
      <c r="BE165" s="4"/>
      <c r="BF165" s="27"/>
      <c r="BG165" s="27"/>
      <c r="BH165" s="4"/>
      <c r="BI165" s="4"/>
      <c r="BJ165" s="5">
        <f t="shared" si="6"/>
        <v>0</v>
      </c>
      <c r="BK165" s="42" t="s">
        <v>22</v>
      </c>
      <c r="BL165" s="42"/>
      <c r="BM165" s="51"/>
    </row>
    <row r="166" spans="1:65" s="9" customFormat="1" ht="11.25" hidden="1">
      <c r="A166" s="43"/>
      <c r="B166" s="9" t="str">
        <f>"HÁTLAP (BŐRHATÁSÚ)"</f>
        <v>HÁTLAP (BŐRHATÁSÚ)</v>
      </c>
      <c r="C166" s="9" t="s">
        <v>44</v>
      </c>
      <c r="D166" s="21" t="s">
        <v>22</v>
      </c>
      <c r="E166" s="27"/>
      <c r="F166" s="27"/>
      <c r="G166" s="4"/>
      <c r="H166" s="34"/>
      <c r="I166" s="27"/>
      <c r="J166" s="27"/>
      <c r="K166" s="27"/>
      <c r="L166" s="27"/>
      <c r="M166" s="27"/>
      <c r="N166" s="27"/>
      <c r="O166" s="27"/>
      <c r="P166" s="27"/>
      <c r="Q166" s="4"/>
      <c r="R166" s="4"/>
      <c r="S166" s="4"/>
      <c r="T166" s="4"/>
      <c r="U166" s="4"/>
      <c r="V166" s="4"/>
      <c r="W166" s="27"/>
      <c r="X166" s="27"/>
      <c r="Y166" s="27"/>
      <c r="Z166" s="4"/>
      <c r="AA166" s="4"/>
      <c r="AB166" s="27"/>
      <c r="AC166" s="27"/>
      <c r="AD166" s="10"/>
      <c r="AE166" s="4"/>
      <c r="AF166" s="4"/>
      <c r="AG166" s="4"/>
      <c r="AH166" s="4"/>
      <c r="AI166" s="4"/>
      <c r="AJ166" s="4"/>
      <c r="AK166" s="4"/>
      <c r="AL166" s="4"/>
      <c r="AM166" s="4"/>
      <c r="AN166" s="17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27"/>
      <c r="BA166" s="4"/>
      <c r="BB166" s="4"/>
      <c r="BC166" s="4"/>
      <c r="BD166" s="4"/>
      <c r="BE166" s="4"/>
      <c r="BF166" s="27"/>
      <c r="BG166" s="27"/>
      <c r="BH166" s="4"/>
      <c r="BI166" s="4"/>
      <c r="BJ166" s="5">
        <f t="shared" si="6"/>
        <v>0</v>
      </c>
      <c r="BK166" s="42" t="s">
        <v>22</v>
      </c>
      <c r="BL166" s="42"/>
      <c r="BM166" s="51"/>
    </row>
    <row r="167" spans="1:65" s="9" customFormat="1" ht="11.25" hidden="1">
      <c r="A167" s="43"/>
      <c r="B167" s="9" t="str">
        <f>"HIBAJAVÍTÓ FESTÉK (ECSETES)"</f>
        <v>HIBAJAVÍTÓ FESTÉK (ECSETES)</v>
      </c>
      <c r="C167" s="9" t="str">
        <f>"KORES"</f>
        <v>KORES</v>
      </c>
      <c r="D167" s="21" t="s">
        <v>22</v>
      </c>
      <c r="E167" s="27"/>
      <c r="F167" s="27"/>
      <c r="G167" s="4"/>
      <c r="H167" s="34"/>
      <c r="I167" s="27"/>
      <c r="J167" s="27"/>
      <c r="K167" s="27"/>
      <c r="L167" s="27"/>
      <c r="M167" s="27"/>
      <c r="N167" s="27"/>
      <c r="O167" s="27"/>
      <c r="P167" s="27"/>
      <c r="Q167" s="4"/>
      <c r="R167" s="4"/>
      <c r="S167" s="4"/>
      <c r="T167" s="4"/>
      <c r="U167" s="4"/>
      <c r="V167" s="4"/>
      <c r="W167" s="27"/>
      <c r="X167" s="27"/>
      <c r="Y167" s="27"/>
      <c r="Z167" s="4"/>
      <c r="AA167" s="4"/>
      <c r="AB167" s="27"/>
      <c r="AC167" s="27"/>
      <c r="AD167" s="10"/>
      <c r="AE167" s="4"/>
      <c r="AF167" s="4"/>
      <c r="AG167" s="4"/>
      <c r="AH167" s="4"/>
      <c r="AI167" s="4"/>
      <c r="AJ167" s="4"/>
      <c r="AK167" s="4"/>
      <c r="AL167" s="4"/>
      <c r="AM167" s="4"/>
      <c r="AN167" s="17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27"/>
      <c r="BA167" s="4"/>
      <c r="BB167" s="4"/>
      <c r="BC167" s="4"/>
      <c r="BD167" s="4"/>
      <c r="BE167" s="4"/>
      <c r="BF167" s="27"/>
      <c r="BG167" s="27"/>
      <c r="BH167" s="4"/>
      <c r="BI167" s="4"/>
      <c r="BJ167" s="5">
        <f t="shared" si="6"/>
        <v>0</v>
      </c>
      <c r="BK167" s="42" t="s">
        <v>22</v>
      </c>
      <c r="BL167" s="42"/>
      <c r="BM167" s="51"/>
    </row>
    <row r="168" spans="1:65" s="9" customFormat="1" ht="11.25" hidden="1">
      <c r="A168" s="43"/>
      <c r="B168" s="9" t="str">
        <f>"HIBAJAVÍTÓ FESTÉKHÍGÍTÓ"</f>
        <v>HIBAJAVÍTÓ FESTÉKHÍGÍTÓ</v>
      </c>
      <c r="D168" s="21" t="s">
        <v>22</v>
      </c>
      <c r="E168" s="27"/>
      <c r="F168" s="27"/>
      <c r="G168" s="4"/>
      <c r="H168" s="34"/>
      <c r="I168" s="27"/>
      <c r="J168" s="27"/>
      <c r="K168" s="27"/>
      <c r="L168" s="27"/>
      <c r="M168" s="27"/>
      <c r="N168" s="27"/>
      <c r="O168" s="27"/>
      <c r="P168" s="27"/>
      <c r="Q168" s="4"/>
      <c r="R168" s="4"/>
      <c r="S168" s="4"/>
      <c r="T168" s="4"/>
      <c r="U168" s="4"/>
      <c r="V168" s="4"/>
      <c r="W168" s="27"/>
      <c r="X168" s="27"/>
      <c r="Y168" s="27"/>
      <c r="Z168" s="4"/>
      <c r="AA168" s="4"/>
      <c r="AB168" s="27"/>
      <c r="AC168" s="27"/>
      <c r="AD168" s="10"/>
      <c r="AE168" s="4"/>
      <c r="AF168" s="4"/>
      <c r="AG168" s="4"/>
      <c r="AH168" s="4"/>
      <c r="AI168" s="4"/>
      <c r="AJ168" s="4"/>
      <c r="AK168" s="4"/>
      <c r="AL168" s="4"/>
      <c r="AM168" s="4"/>
      <c r="AN168" s="17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27"/>
      <c r="BA168" s="4"/>
      <c r="BB168" s="4"/>
      <c r="BC168" s="4"/>
      <c r="BD168" s="4"/>
      <c r="BE168" s="4"/>
      <c r="BF168" s="27"/>
      <c r="BG168" s="27"/>
      <c r="BH168" s="4"/>
      <c r="BI168" s="4"/>
      <c r="BJ168" s="5">
        <f t="shared" si="6"/>
        <v>0</v>
      </c>
      <c r="BK168" s="42" t="s">
        <v>22</v>
      </c>
      <c r="BL168" s="42"/>
      <c r="BM168" s="51"/>
    </row>
    <row r="169" spans="1:65" s="8" customFormat="1" ht="11.25">
      <c r="A169" s="44" t="s">
        <v>223</v>
      </c>
      <c r="B169" s="9" t="str">
        <f>"GÉMKAPOCS (NAGY)"</f>
        <v>GÉMKAPOCS (NAGY)</v>
      </c>
      <c r="C169" s="9" t="str">
        <f>"55MM"</f>
        <v>55MM</v>
      </c>
      <c r="D169" s="21" t="s">
        <v>30</v>
      </c>
      <c r="E169" s="28">
        <v>1</v>
      </c>
      <c r="F169" s="28">
        <v>2</v>
      </c>
      <c r="G169" s="5"/>
      <c r="H169" s="34"/>
      <c r="I169" s="28"/>
      <c r="J169" s="28"/>
      <c r="K169" s="28"/>
      <c r="L169" s="28"/>
      <c r="M169" s="28"/>
      <c r="N169" s="28"/>
      <c r="O169" s="28"/>
      <c r="P169" s="28"/>
      <c r="Q169" s="5"/>
      <c r="R169" s="5"/>
      <c r="S169" s="5"/>
      <c r="T169" s="5"/>
      <c r="U169" s="5"/>
      <c r="V169" s="5"/>
      <c r="W169" s="28"/>
      <c r="X169" s="28"/>
      <c r="Y169" s="28"/>
      <c r="Z169" s="5"/>
      <c r="AA169" s="5"/>
      <c r="AB169" s="28"/>
      <c r="AC169" s="28"/>
      <c r="AD169" s="11"/>
      <c r="AE169" s="5"/>
      <c r="AF169" s="5"/>
      <c r="AG169" s="5"/>
      <c r="AH169" s="5"/>
      <c r="AI169" s="5"/>
      <c r="AJ169" s="5"/>
      <c r="AK169" s="5"/>
      <c r="AL169" s="5"/>
      <c r="AM169" s="5"/>
      <c r="AN169" s="17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28"/>
      <c r="BA169" s="5"/>
      <c r="BB169" s="5"/>
      <c r="BC169" s="5"/>
      <c r="BD169" s="5"/>
      <c r="BE169" s="5"/>
      <c r="BF169" s="28">
        <v>1</v>
      </c>
      <c r="BG169" s="28"/>
      <c r="BH169" s="5"/>
      <c r="BI169" s="5"/>
      <c r="BJ169" s="5">
        <f t="shared" si="6"/>
        <v>4</v>
      </c>
      <c r="BK169" s="42" t="s">
        <v>30</v>
      </c>
      <c r="BL169" s="42"/>
      <c r="BM169" s="13"/>
    </row>
    <row r="170" spans="1:65" s="8" customFormat="1" ht="11.25">
      <c r="A170" s="44" t="s">
        <v>224</v>
      </c>
      <c r="B170" s="9" t="str">
        <f>"GÉMKAPOCS (NORMÁL)"</f>
        <v>GÉMKAPOCS (NORMÁL)</v>
      </c>
      <c r="C170" s="9" t="str">
        <f>"33MM"</f>
        <v>33MM</v>
      </c>
      <c r="D170" s="21" t="s">
        <v>30</v>
      </c>
      <c r="E170" s="28"/>
      <c r="F170" s="28">
        <v>2</v>
      </c>
      <c r="G170" s="5"/>
      <c r="H170" s="34"/>
      <c r="I170" s="28"/>
      <c r="J170" s="28"/>
      <c r="K170" s="28"/>
      <c r="L170" s="28"/>
      <c r="M170" s="28"/>
      <c r="N170" s="28"/>
      <c r="O170" s="28"/>
      <c r="P170" s="28"/>
      <c r="Q170" s="5"/>
      <c r="R170" s="5"/>
      <c r="S170" s="5"/>
      <c r="T170" s="5"/>
      <c r="U170" s="5"/>
      <c r="V170" s="5"/>
      <c r="W170" s="28"/>
      <c r="X170" s="28"/>
      <c r="Y170" s="28"/>
      <c r="Z170" s="5"/>
      <c r="AA170" s="5"/>
      <c r="AB170" s="28"/>
      <c r="AC170" s="28"/>
      <c r="AD170" s="11"/>
      <c r="AE170" s="5"/>
      <c r="AF170" s="5"/>
      <c r="AG170" s="5"/>
      <c r="AH170" s="5"/>
      <c r="AI170" s="5"/>
      <c r="AJ170" s="5"/>
      <c r="AK170" s="5"/>
      <c r="AL170" s="5"/>
      <c r="AM170" s="5"/>
      <c r="AN170" s="17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28"/>
      <c r="BA170" s="5"/>
      <c r="BB170" s="5"/>
      <c r="BC170" s="5"/>
      <c r="BD170" s="5"/>
      <c r="BE170" s="5"/>
      <c r="BF170" s="28"/>
      <c r="BG170" s="28"/>
      <c r="BH170" s="5"/>
      <c r="BI170" s="5"/>
      <c r="BJ170" s="5">
        <f t="shared" si="6"/>
        <v>2</v>
      </c>
      <c r="BK170" s="42" t="s">
        <v>30</v>
      </c>
      <c r="BL170" s="42"/>
      <c r="BM170" s="13"/>
    </row>
    <row r="171" spans="1:65" s="9" customFormat="1" ht="11.25" hidden="1">
      <c r="A171" s="43"/>
      <c r="B171" s="9" t="str">
        <f>"HIBAJAVÍTÓ TOLL (STRANGER)"</f>
        <v>HIBAJAVÍTÓ TOLL (STRANGER)</v>
      </c>
      <c r="D171" s="17"/>
      <c r="E171" s="27"/>
      <c r="F171" s="27"/>
      <c r="G171" s="4"/>
      <c r="H171" s="34"/>
      <c r="I171" s="27"/>
      <c r="J171" s="27"/>
      <c r="K171" s="27"/>
      <c r="L171" s="27"/>
      <c r="M171" s="27"/>
      <c r="N171" s="27"/>
      <c r="O171" s="27"/>
      <c r="P171" s="27"/>
      <c r="Q171" s="4"/>
      <c r="R171" s="4"/>
      <c r="S171" s="4"/>
      <c r="T171" s="4"/>
      <c r="U171" s="4"/>
      <c r="V171" s="4"/>
      <c r="W171" s="27"/>
      <c r="X171" s="27"/>
      <c r="Y171" s="27"/>
      <c r="Z171" s="4"/>
      <c r="AA171" s="4"/>
      <c r="AB171" s="27"/>
      <c r="AC171" s="27"/>
      <c r="AD171" s="10"/>
      <c r="AE171" s="4"/>
      <c r="AF171" s="4"/>
      <c r="AG171" s="4"/>
      <c r="AH171" s="4"/>
      <c r="AI171" s="4"/>
      <c r="AJ171" s="4"/>
      <c r="AK171" s="4"/>
      <c r="AL171" s="4"/>
      <c r="AM171" s="4"/>
      <c r="AN171" s="17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27"/>
      <c r="BA171" s="4"/>
      <c r="BB171" s="4"/>
      <c r="BC171" s="4"/>
      <c r="BD171" s="4"/>
      <c r="BE171" s="4"/>
      <c r="BF171" s="27"/>
      <c r="BG171" s="27"/>
      <c r="BH171" s="4"/>
      <c r="BI171" s="4"/>
      <c r="BJ171" s="5">
        <f t="shared" si="6"/>
        <v>0</v>
      </c>
      <c r="BK171" s="41"/>
      <c r="BL171" s="41"/>
      <c r="BM171" s="51"/>
    </row>
    <row r="172" spans="1:65" s="9" customFormat="1" ht="11.25" hidden="1">
      <c r="A172" s="43"/>
      <c r="B172" s="9" t="str">
        <f>"HULLADÉK ELHELYEZÉSI JEGY"</f>
        <v>HULLADÉK ELHELYEZÉSI JEGY</v>
      </c>
      <c r="C172" s="9" t="str">
        <f>"(TISZASZOLG)"</f>
        <v>(TISZASZOLG)</v>
      </c>
      <c r="D172" s="17"/>
      <c r="E172" s="27"/>
      <c r="F172" s="27"/>
      <c r="G172" s="4"/>
      <c r="H172" s="34"/>
      <c r="I172" s="27"/>
      <c r="J172" s="27"/>
      <c r="K172" s="27"/>
      <c r="L172" s="27"/>
      <c r="M172" s="27"/>
      <c r="N172" s="27"/>
      <c r="O172" s="27"/>
      <c r="P172" s="27"/>
      <c r="Q172" s="4"/>
      <c r="R172" s="4"/>
      <c r="S172" s="4"/>
      <c r="T172" s="4"/>
      <c r="U172" s="4"/>
      <c r="V172" s="4"/>
      <c r="W172" s="27"/>
      <c r="X172" s="27"/>
      <c r="Y172" s="27"/>
      <c r="Z172" s="4"/>
      <c r="AA172" s="4"/>
      <c r="AB172" s="27"/>
      <c r="AC172" s="27"/>
      <c r="AD172" s="10"/>
      <c r="AE172" s="4"/>
      <c r="AF172" s="4"/>
      <c r="AG172" s="4"/>
      <c r="AH172" s="4"/>
      <c r="AI172" s="4"/>
      <c r="AJ172" s="4"/>
      <c r="AK172" s="4"/>
      <c r="AL172" s="4"/>
      <c r="AM172" s="4"/>
      <c r="AN172" s="17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27"/>
      <c r="BA172" s="4"/>
      <c r="BB172" s="4"/>
      <c r="BC172" s="4"/>
      <c r="BD172" s="4"/>
      <c r="BE172" s="4"/>
      <c r="BF172" s="27"/>
      <c r="BG172" s="27"/>
      <c r="BH172" s="4"/>
      <c r="BI172" s="4"/>
      <c r="BJ172" s="5">
        <f t="shared" si="6"/>
        <v>0</v>
      </c>
      <c r="BK172" s="41"/>
      <c r="BL172" s="41"/>
      <c r="BM172" s="51"/>
    </row>
    <row r="173" spans="1:65" s="9" customFormat="1" ht="11.25" hidden="1">
      <c r="A173" s="43"/>
      <c r="B173" s="9" t="str">
        <f>"IKTATÓKÖNYV (SOROS)"</f>
        <v>IKTATÓKÖNYV (SOROS)</v>
      </c>
      <c r="C173" s="9" t="str">
        <f>"C 5230-152"</f>
        <v>C 5230-152</v>
      </c>
      <c r="D173" s="17"/>
      <c r="E173" s="27"/>
      <c r="F173" s="27"/>
      <c r="G173" s="4"/>
      <c r="H173" s="34"/>
      <c r="I173" s="27"/>
      <c r="J173" s="27"/>
      <c r="K173" s="27"/>
      <c r="L173" s="27"/>
      <c r="M173" s="27"/>
      <c r="N173" s="27"/>
      <c r="O173" s="27"/>
      <c r="P173" s="27"/>
      <c r="Q173" s="4"/>
      <c r="R173" s="4"/>
      <c r="S173" s="4"/>
      <c r="T173" s="4"/>
      <c r="U173" s="4"/>
      <c r="V173" s="4"/>
      <c r="W173" s="27"/>
      <c r="X173" s="27"/>
      <c r="Y173" s="27"/>
      <c r="Z173" s="4"/>
      <c r="AA173" s="4"/>
      <c r="AB173" s="27"/>
      <c r="AC173" s="27"/>
      <c r="AD173" s="10"/>
      <c r="AE173" s="4"/>
      <c r="AF173" s="4"/>
      <c r="AG173" s="4"/>
      <c r="AH173" s="4"/>
      <c r="AI173" s="4"/>
      <c r="AJ173" s="4"/>
      <c r="AK173" s="4"/>
      <c r="AL173" s="4"/>
      <c r="AM173" s="4"/>
      <c r="AN173" s="17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27"/>
      <c r="BA173" s="4"/>
      <c r="BB173" s="4"/>
      <c r="BC173" s="4"/>
      <c r="BD173" s="4"/>
      <c r="BE173" s="4"/>
      <c r="BF173" s="27"/>
      <c r="BG173" s="27"/>
      <c r="BH173" s="4"/>
      <c r="BI173" s="4"/>
      <c r="BJ173" s="5">
        <f t="shared" si="6"/>
        <v>0</v>
      </c>
      <c r="BK173" s="41"/>
      <c r="BL173" s="41"/>
      <c r="BM173" s="51"/>
    </row>
    <row r="174" spans="1:65" s="14" customFormat="1" ht="11.25">
      <c r="A174" s="43" t="s">
        <v>225</v>
      </c>
      <c r="B174" s="9" t="s">
        <v>29</v>
      </c>
      <c r="C174" s="9" t="str">
        <f>"33MM"</f>
        <v>33MM</v>
      </c>
      <c r="D174" s="21" t="s">
        <v>30</v>
      </c>
      <c r="E174" s="28">
        <v>1</v>
      </c>
      <c r="F174" s="28">
        <v>2</v>
      </c>
      <c r="G174" s="5"/>
      <c r="H174" s="34"/>
      <c r="I174" s="28"/>
      <c r="J174" s="28"/>
      <c r="K174" s="28"/>
      <c r="L174" s="28"/>
      <c r="M174" s="28"/>
      <c r="N174" s="28"/>
      <c r="O174" s="28"/>
      <c r="P174" s="28"/>
      <c r="Q174" s="5"/>
      <c r="R174" s="5"/>
      <c r="S174" s="5"/>
      <c r="T174" s="5"/>
      <c r="U174" s="5"/>
      <c r="V174" s="5"/>
      <c r="W174" s="28"/>
      <c r="X174" s="28"/>
      <c r="Y174" s="28"/>
      <c r="Z174" s="5"/>
      <c r="AA174" s="5"/>
      <c r="AB174" s="28"/>
      <c r="AC174" s="28"/>
      <c r="AD174" s="11"/>
      <c r="AE174" s="5"/>
      <c r="AF174" s="5"/>
      <c r="AG174" s="5"/>
      <c r="AH174" s="5"/>
      <c r="AI174" s="5"/>
      <c r="AJ174" s="5"/>
      <c r="AK174" s="5"/>
      <c r="AL174" s="5"/>
      <c r="AM174" s="5"/>
      <c r="AN174" s="17"/>
      <c r="AO174" s="5"/>
      <c r="AP174" s="5"/>
      <c r="AQ174" s="5"/>
      <c r="AR174" s="5"/>
      <c r="AS174" s="5"/>
      <c r="AT174" s="5"/>
      <c r="AU174" s="5"/>
      <c r="AV174" s="5"/>
      <c r="AW174" s="5">
        <v>4</v>
      </c>
      <c r="AX174" s="5"/>
      <c r="AY174" s="5"/>
      <c r="AZ174" s="28"/>
      <c r="BA174" s="5"/>
      <c r="BB174" s="5"/>
      <c r="BC174" s="5"/>
      <c r="BD174" s="5"/>
      <c r="BE174" s="5"/>
      <c r="BF174" s="28"/>
      <c r="BG174" s="28"/>
      <c r="BH174" s="5"/>
      <c r="BI174" s="5"/>
      <c r="BJ174" s="5">
        <f t="shared" si="6"/>
        <v>7</v>
      </c>
      <c r="BK174" s="42" t="s">
        <v>30</v>
      </c>
      <c r="BL174" s="42"/>
      <c r="BM174" s="52"/>
    </row>
    <row r="175" spans="1:65" s="14" customFormat="1" ht="11.25">
      <c r="A175" s="43" t="s">
        <v>226</v>
      </c>
      <c r="B175" s="9" t="s">
        <v>95</v>
      </c>
      <c r="C175" s="9" t="s">
        <v>109</v>
      </c>
      <c r="D175" s="21" t="s">
        <v>22</v>
      </c>
      <c r="E175" s="27"/>
      <c r="F175" s="27">
        <v>10</v>
      </c>
      <c r="G175" s="23"/>
      <c r="H175" s="39"/>
      <c r="I175" s="33"/>
      <c r="J175" s="33"/>
      <c r="K175" s="33"/>
      <c r="L175" s="33"/>
      <c r="M175" s="33"/>
      <c r="N175" s="33"/>
      <c r="O175" s="33"/>
      <c r="P175" s="33"/>
      <c r="Q175" s="4">
        <v>50</v>
      </c>
      <c r="R175" s="23"/>
      <c r="S175" s="23"/>
      <c r="T175" s="23"/>
      <c r="U175" s="23"/>
      <c r="V175" s="23"/>
      <c r="W175" s="33"/>
      <c r="X175" s="27"/>
      <c r="Y175" s="33"/>
      <c r="Z175" s="23"/>
      <c r="AA175" s="23"/>
      <c r="AB175" s="33"/>
      <c r="AC175" s="33"/>
      <c r="AD175" s="25"/>
      <c r="AE175" s="23"/>
      <c r="AF175" s="23"/>
      <c r="AG175" s="23"/>
      <c r="AH175" s="23"/>
      <c r="AI175" s="23"/>
      <c r="AJ175" s="23"/>
      <c r="AK175" s="23"/>
      <c r="AL175" s="23"/>
      <c r="AM175" s="23"/>
      <c r="AN175" s="24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33"/>
      <c r="BA175" s="23"/>
      <c r="BB175" s="23"/>
      <c r="BC175" s="23"/>
      <c r="BD175" s="23"/>
      <c r="BE175" s="23"/>
      <c r="BF175" s="33"/>
      <c r="BG175" s="33"/>
      <c r="BH175" s="23"/>
      <c r="BI175" s="23"/>
      <c r="BJ175" s="5">
        <f t="shared" si="6"/>
        <v>60</v>
      </c>
      <c r="BK175" s="42" t="s">
        <v>22</v>
      </c>
      <c r="BL175" s="42"/>
      <c r="BM175" s="52"/>
    </row>
    <row r="176" spans="1:67" s="8" customFormat="1" ht="11.25">
      <c r="A176" s="44" t="s">
        <v>227</v>
      </c>
      <c r="B176" s="9" t="s">
        <v>95</v>
      </c>
      <c r="C176" s="9" t="s">
        <v>123</v>
      </c>
      <c r="D176" s="21" t="s">
        <v>22</v>
      </c>
      <c r="E176" s="28"/>
      <c r="F176" s="28"/>
      <c r="G176" s="17"/>
      <c r="H176" s="28"/>
      <c r="I176" s="28"/>
      <c r="J176" s="28"/>
      <c r="K176" s="28"/>
      <c r="L176" s="28"/>
      <c r="M176" s="28"/>
      <c r="N176" s="28"/>
      <c r="O176" s="28"/>
      <c r="P176" s="28"/>
      <c r="Q176" s="5"/>
      <c r="R176" s="5"/>
      <c r="S176" s="5"/>
      <c r="T176" s="5"/>
      <c r="U176" s="5"/>
      <c r="V176" s="5"/>
      <c r="W176" s="28"/>
      <c r="X176" s="28"/>
      <c r="Y176" s="28"/>
      <c r="Z176" s="5"/>
      <c r="AA176" s="5"/>
      <c r="AB176" s="28"/>
      <c r="AC176" s="28"/>
      <c r="AD176" s="11"/>
      <c r="AE176" s="5"/>
      <c r="AF176" s="5"/>
      <c r="AG176" s="5"/>
      <c r="AH176" s="5"/>
      <c r="AI176" s="5"/>
      <c r="AJ176" s="5"/>
      <c r="AK176" s="5"/>
      <c r="AL176" s="5"/>
      <c r="AM176" s="5"/>
      <c r="AN176" s="17"/>
      <c r="AO176" s="5"/>
      <c r="AP176" s="5"/>
      <c r="AQ176" s="5"/>
      <c r="AR176" s="5"/>
      <c r="AS176" s="5"/>
      <c r="AT176" s="5">
        <v>100</v>
      </c>
      <c r="AU176" s="5"/>
      <c r="AV176" s="5"/>
      <c r="AW176" s="5"/>
      <c r="AX176" s="5"/>
      <c r="AY176" s="5"/>
      <c r="AZ176" s="28"/>
      <c r="BA176" s="5"/>
      <c r="BB176" s="5"/>
      <c r="BC176" s="5"/>
      <c r="BD176" s="5"/>
      <c r="BE176" s="5"/>
      <c r="BF176" s="28"/>
      <c r="BG176" s="28"/>
      <c r="BH176" s="5"/>
      <c r="BI176" s="5"/>
      <c r="BJ176" s="5">
        <f t="shared" si="6"/>
        <v>100</v>
      </c>
      <c r="BK176" s="42" t="s">
        <v>22</v>
      </c>
      <c r="BL176" s="42"/>
      <c r="BM176" s="13"/>
      <c r="BO176" s="9"/>
    </row>
    <row r="177" spans="1:65" s="8" customFormat="1" ht="11.25">
      <c r="A177" s="44" t="s">
        <v>228</v>
      </c>
      <c r="B177" s="9" t="s">
        <v>106</v>
      </c>
      <c r="C177" s="9" t="str">
        <f>"A/4"</f>
        <v>A/4</v>
      </c>
      <c r="D177" s="21" t="s">
        <v>22</v>
      </c>
      <c r="E177" s="28">
        <v>100</v>
      </c>
      <c r="F177" s="28">
        <v>100</v>
      </c>
      <c r="G177" s="5">
        <v>100</v>
      </c>
      <c r="H177" s="34"/>
      <c r="I177" s="28"/>
      <c r="J177" s="28">
        <v>40</v>
      </c>
      <c r="K177" s="28"/>
      <c r="L177" s="28"/>
      <c r="M177" s="28"/>
      <c r="N177" s="28"/>
      <c r="O177" s="28"/>
      <c r="P177" s="28"/>
      <c r="Q177" s="5"/>
      <c r="R177" s="5"/>
      <c r="S177" s="5"/>
      <c r="T177" s="5"/>
      <c r="U177" s="5"/>
      <c r="V177" s="5">
        <v>100</v>
      </c>
      <c r="W177" s="28"/>
      <c r="X177" s="28"/>
      <c r="Y177" s="28"/>
      <c r="Z177" s="5">
        <v>100</v>
      </c>
      <c r="AA177" s="5"/>
      <c r="AB177" s="28"/>
      <c r="AC177" s="28"/>
      <c r="AD177" s="11"/>
      <c r="AE177" s="5"/>
      <c r="AF177" s="5"/>
      <c r="AG177" s="5"/>
      <c r="AH177" s="5"/>
      <c r="AI177" s="5"/>
      <c r="AJ177" s="5"/>
      <c r="AK177" s="5"/>
      <c r="AL177" s="5"/>
      <c r="AM177" s="5"/>
      <c r="AN177" s="17"/>
      <c r="AO177" s="5"/>
      <c r="AP177" s="5"/>
      <c r="AQ177" s="5"/>
      <c r="AR177" s="5"/>
      <c r="AS177" s="5">
        <v>100</v>
      </c>
      <c r="AT177" s="5"/>
      <c r="AU177" s="5">
        <v>50</v>
      </c>
      <c r="AV177" s="5">
        <v>100</v>
      </c>
      <c r="AW177" s="5">
        <v>50</v>
      </c>
      <c r="AX177" s="5">
        <v>100</v>
      </c>
      <c r="AY177" s="5">
        <v>100</v>
      </c>
      <c r="AZ177" s="28"/>
      <c r="BA177" s="5">
        <v>100</v>
      </c>
      <c r="BB177" s="5"/>
      <c r="BC177" s="5"/>
      <c r="BD177" s="5"/>
      <c r="BE177" s="5"/>
      <c r="BF177" s="28">
        <v>500</v>
      </c>
      <c r="BG177" s="28"/>
      <c r="BH177" s="5">
        <v>200</v>
      </c>
      <c r="BI177" s="5">
        <v>400</v>
      </c>
      <c r="BJ177" s="5">
        <f t="shared" si="6"/>
        <v>2240</v>
      </c>
      <c r="BK177" s="42" t="s">
        <v>22</v>
      </c>
      <c r="BL177" s="42"/>
      <c r="BM177" s="13"/>
    </row>
    <row r="178" spans="1:67" s="9" customFormat="1" ht="11.25">
      <c r="A178" s="43" t="s">
        <v>229</v>
      </c>
      <c r="B178" s="9" t="s">
        <v>94</v>
      </c>
      <c r="C178" s="9" t="s">
        <v>93</v>
      </c>
      <c r="D178" s="21" t="s">
        <v>22</v>
      </c>
      <c r="E178" s="28"/>
      <c r="F178" s="28"/>
      <c r="G178" s="5">
        <v>20</v>
      </c>
      <c r="H178" s="31"/>
      <c r="I178" s="28"/>
      <c r="J178" s="28"/>
      <c r="K178" s="28"/>
      <c r="L178" s="28"/>
      <c r="M178" s="28"/>
      <c r="N178" s="28"/>
      <c r="O178" s="28"/>
      <c r="P178" s="28"/>
      <c r="Q178" s="5"/>
      <c r="R178" s="5"/>
      <c r="S178" s="5"/>
      <c r="T178" s="5"/>
      <c r="U178" s="5"/>
      <c r="V178" s="5"/>
      <c r="W178" s="28"/>
      <c r="X178" s="28"/>
      <c r="Y178" s="28"/>
      <c r="Z178" s="5"/>
      <c r="AA178" s="5"/>
      <c r="AB178" s="28"/>
      <c r="AC178" s="28"/>
      <c r="AD178" s="11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>
        <v>50</v>
      </c>
      <c r="AW178" s="5">
        <v>10</v>
      </c>
      <c r="AX178" s="5"/>
      <c r="AY178" s="5"/>
      <c r="AZ178" s="28"/>
      <c r="BA178" s="5"/>
      <c r="BB178" s="5"/>
      <c r="BC178" s="5"/>
      <c r="BD178" s="5"/>
      <c r="BE178" s="5"/>
      <c r="BF178" s="28">
        <v>10</v>
      </c>
      <c r="BG178" s="28"/>
      <c r="BH178" s="5"/>
      <c r="BI178" s="5"/>
      <c r="BJ178" s="5">
        <f t="shared" si="6"/>
        <v>90</v>
      </c>
      <c r="BK178" s="42" t="s">
        <v>22</v>
      </c>
      <c r="BL178" s="42"/>
      <c r="BM178" s="51"/>
      <c r="BO178" s="8"/>
    </row>
    <row r="179" spans="1:67" s="9" customFormat="1" ht="11.25">
      <c r="A179" s="43" t="s">
        <v>230</v>
      </c>
      <c r="B179" s="9" t="s">
        <v>63</v>
      </c>
      <c r="C179" s="9" t="s">
        <v>164</v>
      </c>
      <c r="D179" s="21" t="s">
        <v>22</v>
      </c>
      <c r="E179" s="27">
        <v>20</v>
      </c>
      <c r="F179" s="27">
        <v>10</v>
      </c>
      <c r="G179" s="4">
        <v>20</v>
      </c>
      <c r="H179" s="34"/>
      <c r="I179" s="27"/>
      <c r="J179" s="27">
        <v>40</v>
      </c>
      <c r="K179" s="27"/>
      <c r="L179" s="27"/>
      <c r="M179" s="27"/>
      <c r="N179" s="27"/>
      <c r="O179" s="27"/>
      <c r="P179" s="27"/>
      <c r="Q179" s="4"/>
      <c r="R179" s="4"/>
      <c r="S179" s="4"/>
      <c r="T179" s="4"/>
      <c r="U179" s="4"/>
      <c r="V179" s="4"/>
      <c r="W179" s="27"/>
      <c r="X179" s="27"/>
      <c r="Y179" s="27"/>
      <c r="Z179" s="4"/>
      <c r="AA179" s="4"/>
      <c r="AB179" s="27"/>
      <c r="AC179" s="27"/>
      <c r="AD179" s="10"/>
      <c r="AE179" s="4"/>
      <c r="AF179" s="4"/>
      <c r="AG179" s="4"/>
      <c r="AH179" s="4"/>
      <c r="AI179" s="4"/>
      <c r="AJ179" s="4"/>
      <c r="AK179" s="4"/>
      <c r="AL179" s="4"/>
      <c r="AM179" s="4"/>
      <c r="AN179" s="17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27"/>
      <c r="BA179" s="4"/>
      <c r="BB179" s="4"/>
      <c r="BC179" s="4"/>
      <c r="BD179" s="4"/>
      <c r="BE179" s="4"/>
      <c r="BF179" s="27"/>
      <c r="BG179" s="27"/>
      <c r="BH179" s="4"/>
      <c r="BI179" s="4"/>
      <c r="BJ179" s="5">
        <f t="shared" si="6"/>
        <v>90</v>
      </c>
      <c r="BK179" s="42" t="s">
        <v>22</v>
      </c>
      <c r="BL179" s="42"/>
      <c r="BM179" s="51"/>
      <c r="BO179" s="8"/>
    </row>
    <row r="180" spans="1:67" s="9" customFormat="1" ht="11.25">
      <c r="A180" s="43" t="s">
        <v>231</v>
      </c>
      <c r="B180" s="9" t="s">
        <v>134</v>
      </c>
      <c r="C180" s="9" t="s">
        <v>135</v>
      </c>
      <c r="D180" s="21" t="s">
        <v>22</v>
      </c>
      <c r="E180" s="27"/>
      <c r="F180" s="27"/>
      <c r="G180" s="4"/>
      <c r="H180" s="34"/>
      <c r="I180" s="27"/>
      <c r="J180" s="27">
        <v>2</v>
      </c>
      <c r="K180" s="27"/>
      <c r="L180" s="27"/>
      <c r="M180" s="27"/>
      <c r="N180" s="27"/>
      <c r="O180" s="27"/>
      <c r="P180" s="27"/>
      <c r="Q180" s="4"/>
      <c r="R180" s="4"/>
      <c r="S180" s="4"/>
      <c r="T180" s="4"/>
      <c r="U180" s="4"/>
      <c r="V180" s="4"/>
      <c r="W180" s="27"/>
      <c r="X180" s="27"/>
      <c r="Y180" s="27"/>
      <c r="Z180" s="4"/>
      <c r="AA180" s="4"/>
      <c r="AB180" s="27"/>
      <c r="AC180" s="27"/>
      <c r="AD180" s="10"/>
      <c r="AE180" s="4"/>
      <c r="AF180" s="4"/>
      <c r="AG180" s="4"/>
      <c r="AH180" s="4"/>
      <c r="AI180" s="4"/>
      <c r="AJ180" s="4"/>
      <c r="AK180" s="4"/>
      <c r="AL180" s="4"/>
      <c r="AM180" s="4"/>
      <c r="AN180" s="17"/>
      <c r="AO180" s="4"/>
      <c r="AP180" s="4"/>
      <c r="AQ180" s="4"/>
      <c r="AR180" s="4"/>
      <c r="AS180" s="4"/>
      <c r="AT180" s="4"/>
      <c r="AU180" s="4"/>
      <c r="AV180" s="4"/>
      <c r="AW180" s="4"/>
      <c r="AX180" s="4">
        <v>1</v>
      </c>
      <c r="AY180" s="4">
        <v>1</v>
      </c>
      <c r="AZ180" s="27"/>
      <c r="BA180" s="4"/>
      <c r="BB180" s="4"/>
      <c r="BC180" s="4"/>
      <c r="BD180" s="4"/>
      <c r="BE180" s="4"/>
      <c r="BF180" s="27"/>
      <c r="BG180" s="27"/>
      <c r="BH180" s="4"/>
      <c r="BI180" s="4"/>
      <c r="BJ180" s="5">
        <f t="shared" si="6"/>
        <v>4</v>
      </c>
      <c r="BK180" s="42" t="s">
        <v>22</v>
      </c>
      <c r="BL180" s="42"/>
      <c r="BM180" s="51"/>
      <c r="BO180" s="8"/>
    </row>
    <row r="181" spans="1:65" s="8" customFormat="1" ht="11.25" hidden="1">
      <c r="A181" s="44"/>
      <c r="B181" s="9" t="str">
        <f>"IRATMEGSEMMISÍTŐ GÉP (FELLOWES)"</f>
        <v>IRATMEGSEMMISÍTŐ GÉP (FELLOWES)</v>
      </c>
      <c r="C181" s="9" t="str">
        <f>"P-35C"</f>
        <v>P-35C</v>
      </c>
      <c r="D181" s="21"/>
      <c r="E181" s="28"/>
      <c r="F181" s="28"/>
      <c r="G181" s="5"/>
      <c r="H181" s="34"/>
      <c r="I181" s="28"/>
      <c r="J181" s="28"/>
      <c r="K181" s="28"/>
      <c r="L181" s="28"/>
      <c r="M181" s="28"/>
      <c r="N181" s="28"/>
      <c r="O181" s="28"/>
      <c r="P181" s="28"/>
      <c r="Q181" s="5"/>
      <c r="R181" s="5"/>
      <c r="S181" s="5"/>
      <c r="T181" s="5"/>
      <c r="U181" s="5"/>
      <c r="V181" s="5"/>
      <c r="W181" s="28"/>
      <c r="X181" s="28"/>
      <c r="Y181" s="28"/>
      <c r="Z181" s="5"/>
      <c r="AA181" s="5"/>
      <c r="AB181" s="28"/>
      <c r="AC181" s="28"/>
      <c r="AD181" s="11"/>
      <c r="AE181" s="5"/>
      <c r="AF181" s="5"/>
      <c r="AG181" s="5"/>
      <c r="AH181" s="5"/>
      <c r="AI181" s="5"/>
      <c r="AJ181" s="5"/>
      <c r="AK181" s="5"/>
      <c r="AL181" s="5"/>
      <c r="AM181" s="5"/>
      <c r="AN181" s="17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28"/>
      <c r="BA181" s="5"/>
      <c r="BB181" s="5"/>
      <c r="BC181" s="5"/>
      <c r="BD181" s="5"/>
      <c r="BE181" s="5"/>
      <c r="BF181" s="28"/>
      <c r="BG181" s="28"/>
      <c r="BH181" s="5"/>
      <c r="BI181" s="5"/>
      <c r="BJ181" s="5">
        <f t="shared" si="6"/>
        <v>0</v>
      </c>
      <c r="BK181" s="42"/>
      <c r="BL181" s="42"/>
      <c r="BM181" s="13"/>
    </row>
    <row r="182" spans="1:65" s="9" customFormat="1" ht="11.25">
      <c r="A182" s="43" t="s">
        <v>232</v>
      </c>
      <c r="B182" s="9" t="s">
        <v>107</v>
      </c>
      <c r="C182" s="9" t="s">
        <v>108</v>
      </c>
      <c r="D182" s="21" t="s">
        <v>22</v>
      </c>
      <c r="E182" s="27"/>
      <c r="F182" s="27">
        <v>5</v>
      </c>
      <c r="G182" s="4"/>
      <c r="H182" s="34"/>
      <c r="I182" s="27"/>
      <c r="J182" s="27"/>
      <c r="K182" s="27"/>
      <c r="L182" s="27"/>
      <c r="M182" s="27"/>
      <c r="N182" s="27"/>
      <c r="O182" s="27"/>
      <c r="P182" s="27"/>
      <c r="Q182" s="4"/>
      <c r="R182" s="4"/>
      <c r="S182" s="4"/>
      <c r="T182" s="4"/>
      <c r="U182" s="4"/>
      <c r="V182" s="4"/>
      <c r="W182" s="27"/>
      <c r="X182" s="27"/>
      <c r="Y182" s="27"/>
      <c r="Z182" s="4"/>
      <c r="AA182" s="4"/>
      <c r="AB182" s="27"/>
      <c r="AC182" s="27"/>
      <c r="AD182" s="10"/>
      <c r="AE182" s="4"/>
      <c r="AF182" s="4"/>
      <c r="AG182" s="4"/>
      <c r="AH182" s="4"/>
      <c r="AI182" s="4"/>
      <c r="AJ182" s="4"/>
      <c r="AK182" s="4"/>
      <c r="AL182" s="4"/>
      <c r="AM182" s="4"/>
      <c r="AN182" s="17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27"/>
      <c r="BA182" s="4"/>
      <c r="BB182" s="4"/>
      <c r="BC182" s="4"/>
      <c r="BD182" s="4"/>
      <c r="BE182" s="4"/>
      <c r="BF182" s="27"/>
      <c r="BG182" s="27"/>
      <c r="BH182" s="4"/>
      <c r="BI182" s="4"/>
      <c r="BJ182" s="5">
        <f t="shared" si="6"/>
        <v>5</v>
      </c>
      <c r="BK182" s="42" t="s">
        <v>22</v>
      </c>
      <c r="BL182" s="42"/>
      <c r="BM182" s="51"/>
    </row>
    <row r="183" spans="1:65" s="9" customFormat="1" ht="11.25">
      <c r="A183" s="43" t="s">
        <v>233</v>
      </c>
      <c r="B183" s="9" t="str">
        <f>"GOLYÓSTOLL (PENAC RB-085 B.)"</f>
        <v>GOLYÓSTOLL (PENAC RB-085 B.)</v>
      </c>
      <c r="C183" s="9" t="s">
        <v>38</v>
      </c>
      <c r="D183" s="21" t="s">
        <v>22</v>
      </c>
      <c r="E183" s="27">
        <v>10</v>
      </c>
      <c r="F183" s="27">
        <v>5</v>
      </c>
      <c r="G183" s="4">
        <v>5</v>
      </c>
      <c r="H183" s="34"/>
      <c r="I183" s="27"/>
      <c r="J183" s="27"/>
      <c r="K183" s="27"/>
      <c r="L183" s="27"/>
      <c r="M183" s="27"/>
      <c r="N183" s="27"/>
      <c r="O183" s="27"/>
      <c r="P183" s="27"/>
      <c r="Q183" s="4"/>
      <c r="R183" s="4"/>
      <c r="S183" s="4"/>
      <c r="T183" s="4"/>
      <c r="U183" s="4"/>
      <c r="V183" s="4"/>
      <c r="W183" s="27"/>
      <c r="X183" s="27"/>
      <c r="Y183" s="27"/>
      <c r="Z183" s="4"/>
      <c r="AA183" s="4"/>
      <c r="AB183" s="27"/>
      <c r="AC183" s="27"/>
      <c r="AD183" s="10"/>
      <c r="AE183" s="4"/>
      <c r="AF183" s="4"/>
      <c r="AG183" s="4"/>
      <c r="AH183" s="4"/>
      <c r="AI183" s="4"/>
      <c r="AJ183" s="4"/>
      <c r="AK183" s="4"/>
      <c r="AL183" s="4"/>
      <c r="AM183" s="4"/>
      <c r="AN183" s="17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27"/>
      <c r="BA183" s="4"/>
      <c r="BB183" s="4"/>
      <c r="BC183" s="4"/>
      <c r="BD183" s="4"/>
      <c r="BE183" s="4"/>
      <c r="BF183" s="27"/>
      <c r="BG183" s="27"/>
      <c r="BH183" s="4"/>
      <c r="BI183" s="4"/>
      <c r="BJ183" s="5">
        <f t="shared" si="6"/>
        <v>20</v>
      </c>
      <c r="BK183" s="42" t="s">
        <v>22</v>
      </c>
      <c r="BL183" s="42"/>
      <c r="BM183" s="51"/>
    </row>
    <row r="184" spans="1:65" s="9" customFormat="1" ht="11.25">
      <c r="A184" s="43" t="s">
        <v>234</v>
      </c>
      <c r="B184" s="9" t="s">
        <v>69</v>
      </c>
      <c r="C184" s="9" t="s">
        <v>153</v>
      </c>
      <c r="D184" s="21" t="s">
        <v>22</v>
      </c>
      <c r="E184" s="27"/>
      <c r="F184" s="27"/>
      <c r="G184" s="4"/>
      <c r="H184" s="34"/>
      <c r="I184" s="27"/>
      <c r="J184" s="27"/>
      <c r="K184" s="27"/>
      <c r="L184" s="27"/>
      <c r="M184" s="27"/>
      <c r="N184" s="27"/>
      <c r="O184" s="27"/>
      <c r="P184" s="27"/>
      <c r="Q184" s="4"/>
      <c r="R184" s="4"/>
      <c r="S184" s="4"/>
      <c r="T184" s="4"/>
      <c r="U184" s="4"/>
      <c r="V184" s="4">
        <v>1</v>
      </c>
      <c r="W184" s="27"/>
      <c r="X184" s="27"/>
      <c r="Y184" s="27"/>
      <c r="Z184" s="4"/>
      <c r="AA184" s="4"/>
      <c r="AB184" s="27"/>
      <c r="AC184" s="27"/>
      <c r="AD184" s="10"/>
      <c r="AE184" s="4"/>
      <c r="AF184" s="4"/>
      <c r="AG184" s="4"/>
      <c r="AH184" s="4"/>
      <c r="AI184" s="4"/>
      <c r="AJ184" s="4"/>
      <c r="AK184" s="4"/>
      <c r="AL184" s="4"/>
      <c r="AM184" s="4"/>
      <c r="AN184" s="17"/>
      <c r="AO184" s="4"/>
      <c r="AP184" s="4"/>
      <c r="AQ184" s="4"/>
      <c r="AR184" s="4"/>
      <c r="AS184" s="4"/>
      <c r="AT184" s="4"/>
      <c r="AU184" s="4"/>
      <c r="AW184" s="4"/>
      <c r="AX184" s="4">
        <v>1</v>
      </c>
      <c r="AY184" s="4">
        <v>1</v>
      </c>
      <c r="AZ184" s="27"/>
      <c r="BA184" s="4"/>
      <c r="BB184" s="4"/>
      <c r="BC184" s="4"/>
      <c r="BD184" s="4"/>
      <c r="BE184" s="4"/>
      <c r="BF184" s="27"/>
      <c r="BG184" s="27"/>
      <c r="BH184" s="4"/>
      <c r="BI184" s="4"/>
      <c r="BJ184" s="5">
        <f t="shared" si="6"/>
        <v>3</v>
      </c>
      <c r="BK184" s="42" t="s">
        <v>22</v>
      </c>
      <c r="BL184" s="42"/>
      <c r="BM184" s="51"/>
    </row>
    <row r="185" spans="1:65" s="9" customFormat="1" ht="11.25">
      <c r="A185" s="43" t="s">
        <v>235</v>
      </c>
      <c r="B185" s="9" t="s">
        <v>69</v>
      </c>
      <c r="C185" s="9" t="s">
        <v>61</v>
      </c>
      <c r="D185" s="21" t="s">
        <v>22</v>
      </c>
      <c r="E185" s="27"/>
      <c r="F185" s="27">
        <v>10</v>
      </c>
      <c r="G185" s="4"/>
      <c r="H185" s="34"/>
      <c r="I185" s="27"/>
      <c r="J185" s="27"/>
      <c r="K185" s="27">
        <v>10</v>
      </c>
      <c r="L185" s="27">
        <v>10</v>
      </c>
      <c r="M185" s="27"/>
      <c r="N185" s="27"/>
      <c r="O185" s="27"/>
      <c r="P185" s="27"/>
      <c r="Q185" s="4"/>
      <c r="R185" s="4"/>
      <c r="S185" s="4"/>
      <c r="T185" s="4"/>
      <c r="U185" s="4"/>
      <c r="V185" s="4"/>
      <c r="W185" s="27"/>
      <c r="X185" s="27"/>
      <c r="Y185" s="27"/>
      <c r="Z185" s="4"/>
      <c r="AA185" s="4"/>
      <c r="AB185" s="27"/>
      <c r="AC185" s="27"/>
      <c r="AD185" s="10"/>
      <c r="AE185" s="4"/>
      <c r="AF185" s="4"/>
      <c r="AG185" s="4"/>
      <c r="AH185" s="4"/>
      <c r="AI185" s="4"/>
      <c r="AJ185" s="4"/>
      <c r="AK185" s="4"/>
      <c r="AL185" s="4"/>
      <c r="AM185" s="4"/>
      <c r="AN185" s="17"/>
      <c r="AO185" s="4"/>
      <c r="AP185" s="4"/>
      <c r="AQ185" s="4"/>
      <c r="AR185" s="4"/>
      <c r="AS185" s="4">
        <v>5</v>
      </c>
      <c r="AT185" s="4">
        <v>10</v>
      </c>
      <c r="AU185" s="4"/>
      <c r="AV185" s="4">
        <v>2</v>
      </c>
      <c r="AW185" s="4"/>
      <c r="AX185" s="4"/>
      <c r="AY185" s="4"/>
      <c r="AZ185" s="27"/>
      <c r="BA185" s="4"/>
      <c r="BB185" s="4"/>
      <c r="BC185" s="4"/>
      <c r="BD185" s="4"/>
      <c r="BE185" s="4"/>
      <c r="BF185" s="27">
        <v>3</v>
      </c>
      <c r="BG185" s="27"/>
      <c r="BH185" s="4"/>
      <c r="BI185" s="4"/>
      <c r="BJ185" s="5">
        <f t="shared" si="6"/>
        <v>50</v>
      </c>
      <c r="BK185" s="42" t="s">
        <v>22</v>
      </c>
      <c r="BL185" s="42"/>
      <c r="BM185" s="51"/>
    </row>
    <row r="186" spans="1:65" s="9" customFormat="1" ht="11.25">
      <c r="A186" s="43" t="s">
        <v>236</v>
      </c>
      <c r="B186" s="9" t="s">
        <v>69</v>
      </c>
      <c r="C186" s="9" t="s">
        <v>62</v>
      </c>
      <c r="D186" s="21" t="s">
        <v>22</v>
      </c>
      <c r="E186" s="27"/>
      <c r="F186" s="27"/>
      <c r="G186" s="4"/>
      <c r="H186" s="34"/>
      <c r="I186" s="27"/>
      <c r="J186" s="27"/>
      <c r="K186" s="27"/>
      <c r="L186" s="27"/>
      <c r="M186" s="27"/>
      <c r="N186" s="27"/>
      <c r="O186" s="27"/>
      <c r="P186" s="27"/>
      <c r="Q186" s="4"/>
      <c r="R186" s="4"/>
      <c r="S186" s="4"/>
      <c r="T186" s="4"/>
      <c r="U186" s="4"/>
      <c r="V186" s="4">
        <v>1</v>
      </c>
      <c r="W186" s="27"/>
      <c r="X186" s="27"/>
      <c r="Y186" s="27"/>
      <c r="Z186" s="4"/>
      <c r="AA186" s="4"/>
      <c r="AB186" s="27"/>
      <c r="AC186" s="27"/>
      <c r="AD186" s="10"/>
      <c r="AE186" s="4"/>
      <c r="AF186" s="4"/>
      <c r="AG186" s="4"/>
      <c r="AH186" s="4"/>
      <c r="AI186" s="4"/>
      <c r="AJ186" s="4"/>
      <c r="AK186" s="4"/>
      <c r="AL186" s="4"/>
      <c r="AM186" s="4"/>
      <c r="AN186" s="17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27"/>
      <c r="BA186" s="4"/>
      <c r="BB186" s="4"/>
      <c r="BC186" s="4"/>
      <c r="BD186" s="4"/>
      <c r="BE186" s="4"/>
      <c r="BF186" s="27"/>
      <c r="BG186" s="27"/>
      <c r="BH186" s="4"/>
      <c r="BI186" s="4"/>
      <c r="BJ186" s="5">
        <f t="shared" si="6"/>
        <v>1</v>
      </c>
      <c r="BK186" s="42" t="s">
        <v>22</v>
      </c>
      <c r="BL186" s="42"/>
      <c r="BM186" s="51"/>
    </row>
    <row r="187" spans="1:65" s="9" customFormat="1" ht="11.25">
      <c r="A187" s="43" t="s">
        <v>237</v>
      </c>
      <c r="B187" s="9" t="s">
        <v>69</v>
      </c>
      <c r="C187" s="9" t="s">
        <v>112</v>
      </c>
      <c r="D187" s="21" t="s">
        <v>22</v>
      </c>
      <c r="E187" s="27"/>
      <c r="F187" s="27"/>
      <c r="G187" s="4"/>
      <c r="H187" s="34"/>
      <c r="I187" s="27"/>
      <c r="J187" s="27"/>
      <c r="K187" s="27"/>
      <c r="L187" s="27"/>
      <c r="M187" s="27"/>
      <c r="N187" s="27"/>
      <c r="O187" s="27"/>
      <c r="P187" s="27"/>
      <c r="Q187" s="4"/>
      <c r="R187" s="4"/>
      <c r="S187" s="4"/>
      <c r="T187" s="4"/>
      <c r="U187" s="4"/>
      <c r="V187" s="4">
        <v>1</v>
      </c>
      <c r="W187" s="27"/>
      <c r="X187" s="27"/>
      <c r="Y187" s="27"/>
      <c r="Z187" s="4"/>
      <c r="AA187" s="4"/>
      <c r="AB187" s="27"/>
      <c r="AC187" s="27"/>
      <c r="AD187" s="10"/>
      <c r="AE187" s="4"/>
      <c r="AF187" s="4"/>
      <c r="AG187" s="4"/>
      <c r="AH187" s="4"/>
      <c r="AI187" s="4"/>
      <c r="AJ187" s="4"/>
      <c r="AK187" s="4"/>
      <c r="AL187" s="4"/>
      <c r="AM187" s="4"/>
      <c r="AN187" s="17"/>
      <c r="AO187" s="4"/>
      <c r="AP187" s="4"/>
      <c r="AQ187" s="4"/>
      <c r="AR187" s="4"/>
      <c r="AS187" s="4"/>
      <c r="AT187" s="4"/>
      <c r="AU187" s="4"/>
      <c r="AV187" s="4"/>
      <c r="AW187" s="4"/>
      <c r="AX187" s="4">
        <v>1</v>
      </c>
      <c r="AY187" s="4">
        <v>1</v>
      </c>
      <c r="AZ187" s="27"/>
      <c r="BA187" s="4"/>
      <c r="BB187" s="4"/>
      <c r="BC187" s="4"/>
      <c r="BD187" s="4"/>
      <c r="BE187" s="4"/>
      <c r="BF187" s="27">
        <v>2</v>
      </c>
      <c r="BG187" s="27"/>
      <c r="BH187" s="4"/>
      <c r="BI187" s="4"/>
      <c r="BJ187" s="5">
        <f aca="true" t="shared" si="8" ref="BJ187:BJ240">SUM(E187:BI187)</f>
        <v>5</v>
      </c>
      <c r="BK187" s="42" t="s">
        <v>22</v>
      </c>
      <c r="BL187" s="42"/>
      <c r="BM187" s="51"/>
    </row>
    <row r="188" spans="1:65" s="9" customFormat="1" ht="11.25">
      <c r="A188" s="43" t="s">
        <v>238</v>
      </c>
      <c r="B188" s="9" t="s">
        <v>97</v>
      </c>
      <c r="C188" s="9" t="s">
        <v>61</v>
      </c>
      <c r="D188" s="21" t="s">
        <v>22</v>
      </c>
      <c r="E188" s="27">
        <v>20</v>
      </c>
      <c r="F188" s="27">
        <v>10</v>
      </c>
      <c r="G188" s="4">
        <v>30</v>
      </c>
      <c r="H188" s="34"/>
      <c r="I188" s="27"/>
      <c r="J188" s="27"/>
      <c r="K188" s="27"/>
      <c r="L188" s="27"/>
      <c r="M188" s="27"/>
      <c r="N188" s="27">
        <v>10</v>
      </c>
      <c r="O188" s="27"/>
      <c r="P188" s="27"/>
      <c r="Q188" s="4">
        <v>5</v>
      </c>
      <c r="R188" s="4"/>
      <c r="S188" s="4"/>
      <c r="T188" s="4"/>
      <c r="U188" s="4"/>
      <c r="V188" s="4"/>
      <c r="W188" s="27"/>
      <c r="X188" s="27"/>
      <c r="Y188" s="27"/>
      <c r="Z188" s="4"/>
      <c r="AA188" s="4"/>
      <c r="AB188" s="27"/>
      <c r="AC188" s="27"/>
      <c r="AD188" s="10"/>
      <c r="AE188" s="4"/>
      <c r="AF188" s="4"/>
      <c r="AG188" s="4"/>
      <c r="AH188" s="4"/>
      <c r="AI188" s="4"/>
      <c r="AJ188" s="4"/>
      <c r="AK188" s="4"/>
      <c r="AL188" s="4"/>
      <c r="AM188" s="4"/>
      <c r="AN188" s="17"/>
      <c r="AO188" s="4"/>
      <c r="AP188" s="4"/>
      <c r="AQ188" s="4"/>
      <c r="AR188" s="4"/>
      <c r="AS188" s="4">
        <v>3</v>
      </c>
      <c r="AT188" s="4"/>
      <c r="AU188" s="4"/>
      <c r="AV188" s="4"/>
      <c r="AW188" s="4">
        <v>2</v>
      </c>
      <c r="AX188" s="4">
        <v>2</v>
      </c>
      <c r="AY188" s="4">
        <v>2</v>
      </c>
      <c r="AZ188" s="27"/>
      <c r="BA188" s="4"/>
      <c r="BB188" s="4"/>
      <c r="BC188" s="4"/>
      <c r="BD188" s="4"/>
      <c r="BE188" s="4"/>
      <c r="BF188" s="27"/>
      <c r="BG188" s="27"/>
      <c r="BH188" s="4"/>
      <c r="BI188" s="4">
        <v>24</v>
      </c>
      <c r="BJ188" s="5">
        <f t="shared" si="8"/>
        <v>108</v>
      </c>
      <c r="BK188" s="42" t="s">
        <v>22</v>
      </c>
      <c r="BL188" s="42"/>
      <c r="BM188" s="51"/>
    </row>
    <row r="189" spans="1:65" s="9" customFormat="1" ht="11.25">
      <c r="A189" s="43" t="s">
        <v>239</v>
      </c>
      <c r="B189" s="9" t="s">
        <v>97</v>
      </c>
      <c r="C189" s="9" t="s">
        <v>62</v>
      </c>
      <c r="D189" s="21" t="s">
        <v>22</v>
      </c>
      <c r="E189" s="27"/>
      <c r="F189" s="27"/>
      <c r="G189" s="4"/>
      <c r="H189" s="34"/>
      <c r="I189" s="27"/>
      <c r="J189" s="27"/>
      <c r="K189" s="27"/>
      <c r="L189" s="27"/>
      <c r="M189" s="27"/>
      <c r="N189" s="27"/>
      <c r="O189" s="27"/>
      <c r="P189" s="27"/>
      <c r="Q189" s="4"/>
      <c r="R189" s="4"/>
      <c r="S189" s="4"/>
      <c r="T189" s="4"/>
      <c r="U189" s="4"/>
      <c r="V189" s="4"/>
      <c r="W189" s="27"/>
      <c r="X189" s="27"/>
      <c r="Y189" s="27"/>
      <c r="Z189" s="4"/>
      <c r="AA189" s="4"/>
      <c r="AB189" s="27"/>
      <c r="AC189" s="27"/>
      <c r="AD189" s="10"/>
      <c r="AE189" s="4"/>
      <c r="AF189" s="4"/>
      <c r="AG189" s="4"/>
      <c r="AH189" s="4"/>
      <c r="AI189" s="4"/>
      <c r="AJ189" s="4"/>
      <c r="AK189" s="4"/>
      <c r="AL189" s="4"/>
      <c r="AM189" s="4"/>
      <c r="AN189" s="17"/>
      <c r="AO189" s="4"/>
      <c r="AP189" s="4"/>
      <c r="AQ189" s="4"/>
      <c r="AR189" s="4"/>
      <c r="AS189" s="4">
        <v>3</v>
      </c>
      <c r="AT189" s="4"/>
      <c r="AU189" s="4"/>
      <c r="AV189" s="4"/>
      <c r="AW189" s="4"/>
      <c r="AX189" s="4"/>
      <c r="AY189" s="4"/>
      <c r="AZ189" s="27"/>
      <c r="BA189" s="4"/>
      <c r="BB189" s="4"/>
      <c r="BC189" s="4"/>
      <c r="BD189" s="4"/>
      <c r="BE189" s="4"/>
      <c r="BF189" s="27"/>
      <c r="BG189" s="27"/>
      <c r="BH189" s="4"/>
      <c r="BI189" s="4"/>
      <c r="BJ189" s="5">
        <f t="shared" si="8"/>
        <v>3</v>
      </c>
      <c r="BK189" s="42" t="s">
        <v>22</v>
      </c>
      <c r="BL189" s="42"/>
      <c r="BM189" s="51"/>
    </row>
    <row r="190" spans="1:65" s="9" customFormat="1" ht="11.25">
      <c r="A190" s="43" t="s">
        <v>240</v>
      </c>
      <c r="B190" s="9" t="str">
        <f>"GOLYÓSTOLL (ZEBRA F-301)"</f>
        <v>GOLYÓSTOLL (ZEBRA F-301)</v>
      </c>
      <c r="C190" s="9" t="s">
        <v>61</v>
      </c>
      <c r="D190" s="21" t="s">
        <v>22</v>
      </c>
      <c r="E190" s="27">
        <v>10</v>
      </c>
      <c r="F190" s="27"/>
      <c r="G190" s="4"/>
      <c r="H190" s="34">
        <v>2</v>
      </c>
      <c r="I190" s="27"/>
      <c r="J190" s="27"/>
      <c r="K190" s="27"/>
      <c r="L190" s="27"/>
      <c r="M190" s="27"/>
      <c r="N190" s="27"/>
      <c r="O190" s="27"/>
      <c r="P190" s="27"/>
      <c r="Q190" s="4"/>
      <c r="R190" s="4"/>
      <c r="S190" s="4"/>
      <c r="T190" s="4"/>
      <c r="U190" s="4"/>
      <c r="V190" s="4"/>
      <c r="W190" s="27"/>
      <c r="X190" s="27">
        <v>2</v>
      </c>
      <c r="Y190" s="27"/>
      <c r="Z190" s="4"/>
      <c r="AA190" s="4"/>
      <c r="AB190" s="27"/>
      <c r="AC190" s="27">
        <v>1</v>
      </c>
      <c r="AD190" s="10"/>
      <c r="AE190" s="4"/>
      <c r="AF190" s="4"/>
      <c r="AG190" s="4"/>
      <c r="AH190" s="4"/>
      <c r="AI190" s="4"/>
      <c r="AJ190" s="4"/>
      <c r="AK190" s="4"/>
      <c r="AL190" s="4"/>
      <c r="AM190" s="4"/>
      <c r="AN190" s="17"/>
      <c r="AO190" s="4"/>
      <c r="AP190" s="4"/>
      <c r="AQ190" s="4"/>
      <c r="AR190" s="4"/>
      <c r="AS190" s="4"/>
      <c r="AT190" s="4"/>
      <c r="AU190" s="4"/>
      <c r="AV190" s="4"/>
      <c r="AW190" s="4"/>
      <c r="AX190" s="4">
        <v>1</v>
      </c>
      <c r="AY190" s="4">
        <v>1</v>
      </c>
      <c r="AZ190" s="27"/>
      <c r="BA190" s="4"/>
      <c r="BB190" s="4"/>
      <c r="BC190" s="4"/>
      <c r="BD190" s="4"/>
      <c r="BE190" s="4">
        <v>1</v>
      </c>
      <c r="BF190" s="27"/>
      <c r="BG190" s="27"/>
      <c r="BH190" s="4"/>
      <c r="BI190" s="4"/>
      <c r="BJ190" s="5">
        <f t="shared" si="8"/>
        <v>18</v>
      </c>
      <c r="BK190" s="42" t="s">
        <v>22</v>
      </c>
      <c r="BL190" s="42"/>
      <c r="BM190" s="51"/>
    </row>
    <row r="191" spans="1:65" s="9" customFormat="1" ht="11.25">
      <c r="A191" s="43" t="s">
        <v>241</v>
      </c>
      <c r="B191" s="9" t="s">
        <v>118</v>
      </c>
      <c r="C191" s="9" t="s">
        <v>61</v>
      </c>
      <c r="D191" s="21" t="s">
        <v>22</v>
      </c>
      <c r="E191" s="27"/>
      <c r="F191" s="27"/>
      <c r="G191" s="4">
        <v>5</v>
      </c>
      <c r="H191" s="34"/>
      <c r="I191" s="27"/>
      <c r="J191" s="27"/>
      <c r="K191" s="27"/>
      <c r="L191" s="27"/>
      <c r="M191" s="27"/>
      <c r="N191" s="27"/>
      <c r="O191" s="27"/>
      <c r="P191" s="27"/>
      <c r="Q191" s="4"/>
      <c r="R191" s="4"/>
      <c r="S191" s="4"/>
      <c r="T191" s="4"/>
      <c r="U191" s="4"/>
      <c r="V191" s="4"/>
      <c r="W191" s="27"/>
      <c r="X191" s="27"/>
      <c r="Y191" s="27"/>
      <c r="Z191" s="4"/>
      <c r="AA191" s="4"/>
      <c r="AB191" s="27"/>
      <c r="AC191" s="27"/>
      <c r="AD191" s="10"/>
      <c r="AE191" s="4"/>
      <c r="AF191" s="4"/>
      <c r="AG191" s="4"/>
      <c r="AH191" s="4"/>
      <c r="AI191" s="4"/>
      <c r="AJ191" s="4"/>
      <c r="AK191" s="4"/>
      <c r="AL191" s="4"/>
      <c r="AM191" s="4"/>
      <c r="AN191" s="17"/>
      <c r="AO191" s="4"/>
      <c r="AP191" s="4"/>
      <c r="AQ191" s="4"/>
      <c r="AR191" s="4"/>
      <c r="AS191" s="4"/>
      <c r="AT191" s="4"/>
      <c r="AU191" s="4"/>
      <c r="AV191" s="4"/>
      <c r="AW191" s="4"/>
      <c r="AX191" s="4">
        <v>2</v>
      </c>
      <c r="AY191" s="4">
        <v>2</v>
      </c>
      <c r="AZ191" s="27"/>
      <c r="BA191" s="4"/>
      <c r="BB191" s="4"/>
      <c r="BC191" s="4"/>
      <c r="BD191" s="4"/>
      <c r="BE191" s="4"/>
      <c r="BF191" s="27"/>
      <c r="BG191" s="27"/>
      <c r="BH191" s="4"/>
      <c r="BI191" s="4"/>
      <c r="BJ191" s="5">
        <f t="shared" si="8"/>
        <v>9</v>
      </c>
      <c r="BK191" s="42" t="s">
        <v>22</v>
      </c>
      <c r="BL191" s="42"/>
      <c r="BM191" s="51"/>
    </row>
    <row r="192" spans="1:65" s="9" customFormat="1" ht="11.25">
      <c r="A192" s="43" t="s">
        <v>242</v>
      </c>
      <c r="B192" s="9" t="s">
        <v>159</v>
      </c>
      <c r="C192" s="9" t="s">
        <v>61</v>
      </c>
      <c r="D192" s="21" t="s">
        <v>22</v>
      </c>
      <c r="E192" s="27"/>
      <c r="F192" s="27"/>
      <c r="G192" s="4">
        <v>5</v>
      </c>
      <c r="H192" s="34"/>
      <c r="I192" s="27"/>
      <c r="J192" s="27"/>
      <c r="K192" s="27"/>
      <c r="L192" s="27"/>
      <c r="M192" s="27"/>
      <c r="N192" s="27"/>
      <c r="O192" s="27"/>
      <c r="P192" s="27"/>
      <c r="Q192" s="4"/>
      <c r="R192" s="4"/>
      <c r="S192" s="4"/>
      <c r="T192" s="4"/>
      <c r="U192" s="4"/>
      <c r="V192" s="4"/>
      <c r="W192" s="27"/>
      <c r="X192" s="27"/>
      <c r="Y192" s="27"/>
      <c r="Z192" s="4"/>
      <c r="AA192" s="4"/>
      <c r="AB192" s="27"/>
      <c r="AC192" s="27">
        <v>1</v>
      </c>
      <c r="AD192" s="10"/>
      <c r="AE192" s="4"/>
      <c r="AF192" s="4"/>
      <c r="AG192" s="4"/>
      <c r="AH192" s="4"/>
      <c r="AI192" s="4"/>
      <c r="AJ192" s="4"/>
      <c r="AK192" s="4"/>
      <c r="AL192" s="4"/>
      <c r="AM192" s="4"/>
      <c r="AN192" s="17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27"/>
      <c r="BA192" s="4"/>
      <c r="BB192" s="4"/>
      <c r="BC192" s="4"/>
      <c r="BD192" s="4"/>
      <c r="BE192" s="4"/>
      <c r="BF192" s="27">
        <v>5</v>
      </c>
      <c r="BG192" s="27"/>
      <c r="BH192" s="4"/>
      <c r="BI192" s="4"/>
      <c r="BJ192" s="5">
        <f t="shared" si="8"/>
        <v>11</v>
      </c>
      <c r="BK192" s="42" t="s">
        <v>22</v>
      </c>
      <c r="BL192" s="42"/>
      <c r="BM192" s="51"/>
    </row>
    <row r="193" spans="1:65" s="8" customFormat="1" ht="11.25">
      <c r="A193" s="44" t="s">
        <v>243</v>
      </c>
      <c r="B193" s="9" t="s">
        <v>120</v>
      </c>
      <c r="C193" s="9" t="s">
        <v>66</v>
      </c>
      <c r="D193" s="21" t="s">
        <v>116</v>
      </c>
      <c r="E193" s="27"/>
      <c r="F193" s="27"/>
      <c r="G193" s="4"/>
      <c r="H193" s="34"/>
      <c r="I193" s="27"/>
      <c r="J193" s="27"/>
      <c r="K193" s="27"/>
      <c r="L193" s="27"/>
      <c r="M193" s="27"/>
      <c r="N193" s="27"/>
      <c r="O193" s="27"/>
      <c r="P193" s="27"/>
      <c r="Q193" s="4"/>
      <c r="R193" s="4"/>
      <c r="S193" s="4"/>
      <c r="T193" s="4"/>
      <c r="U193" s="4"/>
      <c r="V193" s="4"/>
      <c r="W193" s="27"/>
      <c r="X193" s="27"/>
      <c r="Y193" s="27"/>
      <c r="Z193" s="4"/>
      <c r="AA193" s="4"/>
      <c r="AB193" s="27"/>
      <c r="AC193" s="27"/>
      <c r="AD193" s="10"/>
      <c r="AE193" s="4"/>
      <c r="AF193" s="4"/>
      <c r="AG193" s="4"/>
      <c r="AH193" s="4"/>
      <c r="AI193" s="4"/>
      <c r="AJ193" s="4"/>
      <c r="AK193" s="4"/>
      <c r="AL193" s="4"/>
      <c r="AM193" s="4"/>
      <c r="AN193" s="17"/>
      <c r="AO193" s="4"/>
      <c r="AP193" s="4"/>
      <c r="AQ193" s="4"/>
      <c r="AR193" s="4"/>
      <c r="AS193" s="4"/>
      <c r="AT193" s="4"/>
      <c r="AU193" s="4"/>
      <c r="AV193" s="4"/>
      <c r="AW193" s="4"/>
      <c r="AX193" s="4">
        <v>1</v>
      </c>
      <c r="AY193" s="4">
        <v>1</v>
      </c>
      <c r="AZ193" s="27"/>
      <c r="BA193" s="4"/>
      <c r="BB193" s="4"/>
      <c r="BC193" s="4"/>
      <c r="BD193" s="4"/>
      <c r="BE193" s="4"/>
      <c r="BF193" s="27"/>
      <c r="BG193" s="27"/>
      <c r="BH193" s="4"/>
      <c r="BI193" s="4"/>
      <c r="BJ193" s="5">
        <f t="shared" si="8"/>
        <v>2</v>
      </c>
      <c r="BK193" s="42" t="s">
        <v>116</v>
      </c>
      <c r="BL193" s="42"/>
      <c r="BM193" s="13"/>
    </row>
    <row r="194" spans="1:65" s="8" customFormat="1" ht="11.25" hidden="1">
      <c r="A194" s="44"/>
      <c r="B194" s="9" t="s">
        <v>41</v>
      </c>
      <c r="C194" s="9" t="str">
        <f>"A/4"</f>
        <v>A/4</v>
      </c>
      <c r="D194" s="21" t="s">
        <v>22</v>
      </c>
      <c r="E194" s="28"/>
      <c r="F194" s="28"/>
      <c r="G194" s="5"/>
      <c r="H194" s="34"/>
      <c r="I194" s="28"/>
      <c r="J194" s="28"/>
      <c r="K194" s="28"/>
      <c r="L194" s="28"/>
      <c r="M194" s="28"/>
      <c r="N194" s="28"/>
      <c r="O194" s="28"/>
      <c r="P194" s="28"/>
      <c r="Q194" s="5"/>
      <c r="R194" s="5"/>
      <c r="S194" s="5"/>
      <c r="T194" s="5"/>
      <c r="U194" s="5"/>
      <c r="V194" s="5"/>
      <c r="W194" s="28"/>
      <c r="X194" s="28"/>
      <c r="Y194" s="28"/>
      <c r="Z194" s="5"/>
      <c r="AA194" s="5"/>
      <c r="AB194" s="28"/>
      <c r="AC194" s="28"/>
      <c r="AD194" s="11"/>
      <c r="AE194" s="5"/>
      <c r="AF194" s="5"/>
      <c r="AG194" s="5"/>
      <c r="AH194" s="5"/>
      <c r="AI194" s="5"/>
      <c r="AJ194" s="5"/>
      <c r="AK194" s="5"/>
      <c r="AL194" s="5"/>
      <c r="AM194" s="5"/>
      <c r="AN194" s="17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28"/>
      <c r="BA194" s="5"/>
      <c r="BB194" s="5"/>
      <c r="BC194" s="5"/>
      <c r="BD194" s="5"/>
      <c r="BE194" s="5"/>
      <c r="BF194" s="28"/>
      <c r="BG194" s="28"/>
      <c r="BH194" s="5"/>
      <c r="BI194" s="5"/>
      <c r="BJ194" s="5">
        <f t="shared" si="8"/>
        <v>0</v>
      </c>
      <c r="BK194" s="42" t="s">
        <v>22</v>
      </c>
      <c r="BL194" s="42"/>
      <c r="BM194" s="13"/>
    </row>
    <row r="195" spans="1:65" s="9" customFormat="1" ht="11.25">
      <c r="A195" s="43" t="s">
        <v>244</v>
      </c>
      <c r="B195" s="8" t="s">
        <v>98</v>
      </c>
      <c r="C195" s="8" t="s">
        <v>99</v>
      </c>
      <c r="D195" s="21" t="s">
        <v>22</v>
      </c>
      <c r="E195" s="28"/>
      <c r="F195" s="28"/>
      <c r="G195" s="5"/>
      <c r="H195" s="31"/>
      <c r="I195" s="28"/>
      <c r="J195" s="28"/>
      <c r="K195" s="28"/>
      <c r="L195" s="28"/>
      <c r="M195" s="28"/>
      <c r="N195" s="28"/>
      <c r="O195" s="28"/>
      <c r="P195" s="28"/>
      <c r="Q195" s="5"/>
      <c r="R195" s="5"/>
      <c r="S195" s="5"/>
      <c r="T195" s="5"/>
      <c r="U195" s="5"/>
      <c r="V195" s="5"/>
      <c r="W195" s="28"/>
      <c r="X195" s="28"/>
      <c r="Y195" s="28"/>
      <c r="Z195" s="5"/>
      <c r="AA195" s="5"/>
      <c r="AB195" s="28"/>
      <c r="AC195" s="28"/>
      <c r="AD195" s="11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>
        <v>1</v>
      </c>
      <c r="AT195" s="5"/>
      <c r="AU195" s="5"/>
      <c r="AV195" s="5"/>
      <c r="AW195" s="5"/>
      <c r="AX195" s="5">
        <v>1</v>
      </c>
      <c r="AY195" s="5">
        <v>1</v>
      </c>
      <c r="AZ195" s="28"/>
      <c r="BA195" s="5"/>
      <c r="BB195" s="5"/>
      <c r="BC195" s="5"/>
      <c r="BD195" s="5"/>
      <c r="BE195" s="5"/>
      <c r="BF195" s="28"/>
      <c r="BG195" s="28"/>
      <c r="BH195" s="5"/>
      <c r="BI195" s="5"/>
      <c r="BJ195" s="5">
        <f t="shared" si="8"/>
        <v>3</v>
      </c>
      <c r="BK195" s="42" t="s">
        <v>22</v>
      </c>
      <c r="BL195" s="42"/>
      <c r="BM195" s="51"/>
    </row>
    <row r="196" spans="1:65" s="9" customFormat="1" ht="11.25">
      <c r="A196" s="43" t="s">
        <v>245</v>
      </c>
      <c r="B196" s="9" t="s">
        <v>125</v>
      </c>
      <c r="C196" s="9" t="s">
        <v>126</v>
      </c>
      <c r="D196" s="21" t="s">
        <v>22</v>
      </c>
      <c r="E196" s="27"/>
      <c r="F196" s="27">
        <v>2</v>
      </c>
      <c r="G196" s="4"/>
      <c r="H196" s="34"/>
      <c r="I196" s="27"/>
      <c r="J196" s="27"/>
      <c r="K196" s="27"/>
      <c r="L196" s="27"/>
      <c r="M196" s="27"/>
      <c r="N196" s="27"/>
      <c r="O196" s="27"/>
      <c r="P196" s="27"/>
      <c r="Q196" s="4"/>
      <c r="R196" s="4"/>
      <c r="S196" s="4"/>
      <c r="T196" s="4"/>
      <c r="U196" s="4"/>
      <c r="V196" s="4"/>
      <c r="W196" s="27"/>
      <c r="X196" s="27"/>
      <c r="Y196" s="27"/>
      <c r="Z196" s="4"/>
      <c r="AA196" s="4"/>
      <c r="AB196" s="27">
        <v>1</v>
      </c>
      <c r="AC196" s="27"/>
      <c r="AD196" s="10"/>
      <c r="AE196" s="4"/>
      <c r="AF196" s="4"/>
      <c r="AG196" s="4"/>
      <c r="AH196" s="4"/>
      <c r="AI196" s="4"/>
      <c r="AJ196" s="4"/>
      <c r="AK196" s="4"/>
      <c r="AL196" s="4"/>
      <c r="AM196" s="4"/>
      <c r="AN196" s="17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27"/>
      <c r="BA196" s="4"/>
      <c r="BB196" s="4"/>
      <c r="BC196" s="4"/>
      <c r="BD196" s="4"/>
      <c r="BE196" s="4"/>
      <c r="BF196" s="27"/>
      <c r="BG196" s="27"/>
      <c r="BH196" s="4"/>
      <c r="BI196" s="4"/>
      <c r="BJ196" s="5">
        <f t="shared" si="8"/>
        <v>3</v>
      </c>
      <c r="BK196" s="42" t="s">
        <v>22</v>
      </c>
      <c r="BL196" s="42"/>
      <c r="BM196" s="51"/>
    </row>
    <row r="197" spans="1:65" s="9" customFormat="1" ht="11.25">
      <c r="A197" s="43" t="s">
        <v>246</v>
      </c>
      <c r="B197" s="9" t="str">
        <f>"HIBAJAVÍTÓ ROLLER"</f>
        <v>HIBAJAVÍTÓ ROLLER</v>
      </c>
      <c r="C197" s="9" t="s">
        <v>110</v>
      </c>
      <c r="D197" s="21" t="s">
        <v>22</v>
      </c>
      <c r="E197" s="27">
        <v>3</v>
      </c>
      <c r="F197" s="27">
        <v>4</v>
      </c>
      <c r="G197" s="4"/>
      <c r="H197" s="34"/>
      <c r="I197" s="27"/>
      <c r="J197" s="27">
        <v>2</v>
      </c>
      <c r="K197" s="27"/>
      <c r="L197" s="27"/>
      <c r="M197" s="27"/>
      <c r="N197" s="27">
        <v>4</v>
      </c>
      <c r="O197" s="27">
        <v>2</v>
      </c>
      <c r="P197" s="27"/>
      <c r="Q197" s="4"/>
      <c r="R197" s="4"/>
      <c r="S197" s="4"/>
      <c r="T197" s="4"/>
      <c r="U197" s="4"/>
      <c r="V197" s="4"/>
      <c r="W197" s="27"/>
      <c r="X197" s="27"/>
      <c r="Y197" s="27"/>
      <c r="Z197" s="4"/>
      <c r="AA197" s="4"/>
      <c r="AB197" s="27"/>
      <c r="AC197" s="27"/>
      <c r="AD197" s="10"/>
      <c r="AE197" s="4"/>
      <c r="AF197" s="4"/>
      <c r="AG197" s="4"/>
      <c r="AH197" s="4"/>
      <c r="AI197" s="4"/>
      <c r="AJ197" s="4"/>
      <c r="AK197" s="4"/>
      <c r="AL197" s="4"/>
      <c r="AM197" s="4"/>
      <c r="AN197" s="17"/>
      <c r="AO197" s="4"/>
      <c r="AP197" s="4"/>
      <c r="AQ197" s="4"/>
      <c r="AR197" s="4"/>
      <c r="AS197" s="4">
        <v>1</v>
      </c>
      <c r="AT197" s="4">
        <v>1</v>
      </c>
      <c r="AU197" s="4">
        <v>2</v>
      </c>
      <c r="AV197" s="4">
        <v>2</v>
      </c>
      <c r="AW197" s="4">
        <v>1</v>
      </c>
      <c r="AX197" s="4"/>
      <c r="AY197" s="4"/>
      <c r="AZ197" s="27"/>
      <c r="BA197" s="4"/>
      <c r="BB197" s="4"/>
      <c r="BC197" s="4"/>
      <c r="BD197" s="4"/>
      <c r="BE197" s="4"/>
      <c r="BF197" s="27">
        <v>2</v>
      </c>
      <c r="BG197" s="27"/>
      <c r="BH197" s="4">
        <v>4</v>
      </c>
      <c r="BI197" s="4"/>
      <c r="BJ197" s="5">
        <f t="shared" si="8"/>
        <v>28</v>
      </c>
      <c r="BK197" s="42" t="s">
        <v>22</v>
      </c>
      <c r="BL197" s="42"/>
      <c r="BM197" s="51"/>
    </row>
    <row r="198" spans="1:67" s="8" customFormat="1" ht="11.25" hidden="1">
      <c r="A198" s="44"/>
      <c r="B198" s="9" t="str">
        <f>"LEFŰZHETŐS TASAK"</f>
        <v>LEFŰZHETŐS TASAK</v>
      </c>
      <c r="C198" s="9"/>
      <c r="D198" s="21" t="s">
        <v>22</v>
      </c>
      <c r="E198" s="28"/>
      <c r="F198" s="28"/>
      <c r="G198" s="5"/>
      <c r="H198" s="34"/>
      <c r="I198" s="28"/>
      <c r="J198" s="28"/>
      <c r="K198" s="28"/>
      <c r="L198" s="28"/>
      <c r="M198" s="28"/>
      <c r="N198" s="28"/>
      <c r="O198" s="28"/>
      <c r="P198" s="28"/>
      <c r="Q198" s="5"/>
      <c r="R198" s="5"/>
      <c r="S198" s="5"/>
      <c r="T198" s="5"/>
      <c r="U198" s="5"/>
      <c r="V198" s="5"/>
      <c r="W198" s="28"/>
      <c r="X198" s="28"/>
      <c r="Y198" s="28"/>
      <c r="Z198" s="5"/>
      <c r="AA198" s="5"/>
      <c r="AB198" s="28"/>
      <c r="AC198" s="28"/>
      <c r="AD198" s="11"/>
      <c r="AE198" s="5"/>
      <c r="AF198" s="5"/>
      <c r="AG198" s="5"/>
      <c r="AH198" s="5"/>
      <c r="AI198" s="5"/>
      <c r="AJ198" s="5"/>
      <c r="AK198" s="5"/>
      <c r="AL198" s="5"/>
      <c r="AM198" s="5"/>
      <c r="AN198" s="17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28"/>
      <c r="BA198" s="5"/>
      <c r="BB198" s="5"/>
      <c r="BC198" s="5"/>
      <c r="BD198" s="5"/>
      <c r="BE198" s="5"/>
      <c r="BF198" s="28"/>
      <c r="BG198" s="28"/>
      <c r="BH198" s="5"/>
      <c r="BI198" s="5"/>
      <c r="BJ198" s="5">
        <f t="shared" si="8"/>
        <v>0</v>
      </c>
      <c r="BK198" s="42" t="s">
        <v>22</v>
      </c>
      <c r="BL198" s="42"/>
      <c r="BM198" s="13"/>
      <c r="BO198" s="9"/>
    </row>
    <row r="199" spans="1:65" s="9" customFormat="1" ht="11.25" hidden="1">
      <c r="A199" s="43"/>
      <c r="B199" s="9" t="str">
        <f>"LEPORELLÓ (1 PLD-OS)"</f>
        <v>LEPORELLÓ (1 PLD-OS)</v>
      </c>
      <c r="C199" s="9" t="s">
        <v>0</v>
      </c>
      <c r="D199" s="21" t="s">
        <v>22</v>
      </c>
      <c r="E199" s="27"/>
      <c r="F199" s="27"/>
      <c r="G199" s="4"/>
      <c r="H199" s="34"/>
      <c r="I199" s="27"/>
      <c r="J199" s="27"/>
      <c r="K199" s="27"/>
      <c r="L199" s="27"/>
      <c r="M199" s="27"/>
      <c r="N199" s="27"/>
      <c r="O199" s="27"/>
      <c r="P199" s="27"/>
      <c r="Q199" s="4"/>
      <c r="R199" s="4"/>
      <c r="S199" s="4"/>
      <c r="T199" s="4"/>
      <c r="U199" s="4"/>
      <c r="V199" s="4"/>
      <c r="W199" s="27"/>
      <c r="X199" s="27"/>
      <c r="Y199" s="27"/>
      <c r="Z199" s="4"/>
      <c r="AA199" s="4"/>
      <c r="AB199" s="27"/>
      <c r="AC199" s="27"/>
      <c r="AD199" s="10"/>
      <c r="AE199" s="4"/>
      <c r="AF199" s="4"/>
      <c r="AG199" s="4"/>
      <c r="AH199" s="4"/>
      <c r="AI199" s="4"/>
      <c r="AJ199" s="4"/>
      <c r="AK199" s="4"/>
      <c r="AL199" s="4"/>
      <c r="AM199" s="4"/>
      <c r="AN199" s="17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27"/>
      <c r="BA199" s="4"/>
      <c r="BB199" s="4"/>
      <c r="BC199" s="4"/>
      <c r="BD199" s="4"/>
      <c r="BE199" s="4"/>
      <c r="BF199" s="27"/>
      <c r="BG199" s="27"/>
      <c r="BH199" s="4"/>
      <c r="BI199" s="4"/>
      <c r="BJ199" s="5">
        <f t="shared" si="8"/>
        <v>0</v>
      </c>
      <c r="BK199" s="42" t="s">
        <v>22</v>
      </c>
      <c r="BL199" s="42"/>
      <c r="BM199" s="51"/>
    </row>
    <row r="200" spans="1:65" s="9" customFormat="1" ht="11.25" hidden="1">
      <c r="A200" s="43"/>
      <c r="B200" s="9" t="str">
        <f>"LEPORELLÓ (2 PLD-OS)"</f>
        <v>LEPORELLÓ (2 PLD-OS)</v>
      </c>
      <c r="C200" s="9" t="s">
        <v>0</v>
      </c>
      <c r="D200" s="21" t="s">
        <v>22</v>
      </c>
      <c r="E200" s="27"/>
      <c r="F200" s="27"/>
      <c r="G200" s="4"/>
      <c r="H200" s="34"/>
      <c r="I200" s="27"/>
      <c r="J200" s="27"/>
      <c r="K200" s="27"/>
      <c r="L200" s="27"/>
      <c r="M200" s="27"/>
      <c r="N200" s="27"/>
      <c r="O200" s="27"/>
      <c r="P200" s="27"/>
      <c r="Q200" s="4"/>
      <c r="R200" s="4"/>
      <c r="S200" s="4"/>
      <c r="T200" s="4"/>
      <c r="U200" s="4"/>
      <c r="V200" s="4"/>
      <c r="W200" s="27"/>
      <c r="X200" s="27"/>
      <c r="Y200" s="27"/>
      <c r="Z200" s="4"/>
      <c r="AA200" s="4"/>
      <c r="AB200" s="27"/>
      <c r="AC200" s="27"/>
      <c r="AD200" s="10"/>
      <c r="AE200" s="4"/>
      <c r="AF200" s="4"/>
      <c r="AG200" s="4"/>
      <c r="AH200" s="4"/>
      <c r="AI200" s="4"/>
      <c r="AJ200" s="4"/>
      <c r="AK200" s="4"/>
      <c r="AL200" s="4"/>
      <c r="AM200" s="4"/>
      <c r="AN200" s="17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27"/>
      <c r="BA200" s="4"/>
      <c r="BB200" s="4"/>
      <c r="BC200" s="4"/>
      <c r="BD200" s="4"/>
      <c r="BE200" s="4"/>
      <c r="BF200" s="27"/>
      <c r="BG200" s="27"/>
      <c r="BH200" s="4"/>
      <c r="BI200" s="4"/>
      <c r="BJ200" s="5">
        <f t="shared" si="8"/>
        <v>0</v>
      </c>
      <c r="BK200" s="42" t="s">
        <v>22</v>
      </c>
      <c r="BL200" s="42"/>
      <c r="BM200" s="51"/>
    </row>
    <row r="201" spans="1:67" s="9" customFormat="1" ht="11.25" hidden="1">
      <c r="A201" s="43"/>
      <c r="B201" s="9" t="str">
        <f>"LEPORELLO (SZÉLES) MÜLLER"</f>
        <v>LEPORELLO (SZÉLES) MÜLLER</v>
      </c>
      <c r="C201" s="9" t="str">
        <f>"382/1"</f>
        <v>382/1</v>
      </c>
      <c r="D201" s="21" t="s">
        <v>22</v>
      </c>
      <c r="E201" s="27"/>
      <c r="F201" s="27"/>
      <c r="G201" s="4"/>
      <c r="H201" s="34"/>
      <c r="I201" s="27"/>
      <c r="J201" s="27"/>
      <c r="K201" s="27"/>
      <c r="L201" s="27"/>
      <c r="M201" s="27"/>
      <c r="N201" s="27"/>
      <c r="O201" s="27"/>
      <c r="P201" s="27"/>
      <c r="Q201" s="4"/>
      <c r="R201" s="4"/>
      <c r="S201" s="4"/>
      <c r="T201" s="4"/>
      <c r="U201" s="4"/>
      <c r="V201" s="4"/>
      <c r="W201" s="27"/>
      <c r="X201" s="27"/>
      <c r="Y201" s="27"/>
      <c r="Z201" s="4"/>
      <c r="AA201" s="4"/>
      <c r="AB201" s="27"/>
      <c r="AC201" s="27"/>
      <c r="AD201" s="10"/>
      <c r="AE201" s="4"/>
      <c r="AF201" s="4"/>
      <c r="AG201" s="4"/>
      <c r="AH201" s="4"/>
      <c r="AI201" s="4"/>
      <c r="AJ201" s="4"/>
      <c r="AK201" s="4"/>
      <c r="AL201" s="4"/>
      <c r="AM201" s="4"/>
      <c r="AN201" s="17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27"/>
      <c r="BA201" s="4"/>
      <c r="BB201" s="4"/>
      <c r="BC201" s="4"/>
      <c r="BD201" s="4"/>
      <c r="BE201" s="4"/>
      <c r="BF201" s="27"/>
      <c r="BG201" s="27"/>
      <c r="BH201" s="4"/>
      <c r="BI201" s="4"/>
      <c r="BJ201" s="5">
        <f t="shared" si="8"/>
        <v>0</v>
      </c>
      <c r="BK201" s="42" t="s">
        <v>22</v>
      </c>
      <c r="BL201" s="42"/>
      <c r="BM201" s="51"/>
      <c r="BO201" s="8"/>
    </row>
    <row r="202" spans="1:67" s="8" customFormat="1" ht="11.25" hidden="1">
      <c r="A202" s="44"/>
      <c r="B202" s="9" t="str">
        <f>"LÉPTÉKES VONALZÓ"</f>
        <v>LÉPTÉKES VONALZÓ</v>
      </c>
      <c r="C202" s="9" t="str">
        <f>"601"</f>
        <v>601</v>
      </c>
      <c r="D202" s="21" t="s">
        <v>22</v>
      </c>
      <c r="E202" s="28"/>
      <c r="F202" s="28"/>
      <c r="G202" s="5"/>
      <c r="H202" s="34"/>
      <c r="I202" s="28"/>
      <c r="J202" s="28"/>
      <c r="K202" s="28"/>
      <c r="L202" s="28"/>
      <c r="M202" s="28"/>
      <c r="N202" s="28"/>
      <c r="O202" s="28"/>
      <c r="P202" s="28"/>
      <c r="Q202" s="5"/>
      <c r="R202" s="5"/>
      <c r="S202" s="5"/>
      <c r="T202" s="5"/>
      <c r="U202" s="5"/>
      <c r="V202" s="5"/>
      <c r="W202" s="28"/>
      <c r="X202" s="28"/>
      <c r="Y202" s="28"/>
      <c r="Z202" s="5"/>
      <c r="AA202" s="5"/>
      <c r="AB202" s="28"/>
      <c r="AC202" s="28"/>
      <c r="AD202" s="11"/>
      <c r="AE202" s="5"/>
      <c r="AF202" s="5"/>
      <c r="AG202" s="5"/>
      <c r="AH202" s="5"/>
      <c r="AI202" s="5"/>
      <c r="AJ202" s="5"/>
      <c r="AK202" s="5"/>
      <c r="AL202" s="5"/>
      <c r="AM202" s="5"/>
      <c r="AN202" s="17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28"/>
      <c r="BA202" s="5"/>
      <c r="BB202" s="5"/>
      <c r="BC202" s="5"/>
      <c r="BD202" s="5"/>
      <c r="BE202" s="5"/>
      <c r="BF202" s="28"/>
      <c r="BG202" s="28"/>
      <c r="BH202" s="5"/>
      <c r="BI202" s="5"/>
      <c r="BJ202" s="5">
        <f t="shared" si="8"/>
        <v>0</v>
      </c>
      <c r="BK202" s="42" t="s">
        <v>22</v>
      </c>
      <c r="BL202" s="42"/>
      <c r="BM202" s="13"/>
      <c r="BO202" s="9"/>
    </row>
    <row r="203" spans="1:67" s="9" customFormat="1" ht="11.25" hidden="1">
      <c r="A203" s="43"/>
      <c r="B203" s="9" t="str">
        <f>"LEVÉLBONTÓ KÉS"</f>
        <v>LEVÉLBONTÓ KÉS</v>
      </c>
      <c r="D203" s="21" t="s">
        <v>22</v>
      </c>
      <c r="E203" s="27"/>
      <c r="F203" s="27"/>
      <c r="G203" s="4"/>
      <c r="H203" s="34"/>
      <c r="I203" s="27"/>
      <c r="J203" s="27"/>
      <c r="K203" s="27"/>
      <c r="L203" s="27"/>
      <c r="M203" s="27"/>
      <c r="N203" s="27"/>
      <c r="O203" s="27"/>
      <c r="P203" s="27"/>
      <c r="Q203" s="4"/>
      <c r="R203" s="4"/>
      <c r="S203" s="4"/>
      <c r="T203" s="4"/>
      <c r="U203" s="4"/>
      <c r="V203" s="4"/>
      <c r="W203" s="27"/>
      <c r="X203" s="27"/>
      <c r="Y203" s="27"/>
      <c r="Z203" s="4"/>
      <c r="AA203" s="4"/>
      <c r="AB203" s="27"/>
      <c r="AC203" s="27"/>
      <c r="AD203" s="10"/>
      <c r="AE203" s="4"/>
      <c r="AF203" s="4"/>
      <c r="AG203" s="4"/>
      <c r="AH203" s="4"/>
      <c r="AI203" s="4"/>
      <c r="AJ203" s="4"/>
      <c r="AK203" s="4"/>
      <c r="AL203" s="4"/>
      <c r="AM203" s="4"/>
      <c r="AN203" s="17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27"/>
      <c r="BA203" s="4"/>
      <c r="BB203" s="4"/>
      <c r="BC203" s="4"/>
      <c r="BD203" s="4"/>
      <c r="BE203" s="4"/>
      <c r="BF203" s="27"/>
      <c r="BG203" s="27"/>
      <c r="BH203" s="4"/>
      <c r="BI203" s="4"/>
      <c r="BJ203" s="5">
        <f t="shared" si="8"/>
        <v>0</v>
      </c>
      <c r="BK203" s="42" t="s">
        <v>22</v>
      </c>
      <c r="BL203" s="42"/>
      <c r="BM203" s="51"/>
      <c r="BO203" s="8"/>
    </row>
    <row r="204" spans="1:65" s="8" customFormat="1" ht="11.25" hidden="1">
      <c r="A204" s="44"/>
      <c r="B204" s="9" t="str">
        <f>"LYUKASZTÓGÉP"</f>
        <v>LYUKASZTÓGÉP</v>
      </c>
      <c r="C204" s="9" t="str">
        <f>"EAGLE 837 L"</f>
        <v>EAGLE 837 L</v>
      </c>
      <c r="D204" s="21" t="s">
        <v>22</v>
      </c>
      <c r="E204" s="28"/>
      <c r="F204" s="28"/>
      <c r="G204" s="5"/>
      <c r="H204" s="34"/>
      <c r="I204" s="28"/>
      <c r="J204" s="28"/>
      <c r="K204" s="28"/>
      <c r="L204" s="28"/>
      <c r="M204" s="28"/>
      <c r="N204" s="28"/>
      <c r="O204" s="28"/>
      <c r="P204" s="28"/>
      <c r="Q204" s="5"/>
      <c r="R204" s="5"/>
      <c r="S204" s="5"/>
      <c r="T204" s="5"/>
      <c r="U204" s="5"/>
      <c r="V204" s="5"/>
      <c r="W204" s="28"/>
      <c r="X204" s="28"/>
      <c r="Y204" s="28"/>
      <c r="Z204" s="5"/>
      <c r="AA204" s="5"/>
      <c r="AB204" s="28"/>
      <c r="AC204" s="28"/>
      <c r="AD204" s="11"/>
      <c r="AE204" s="5"/>
      <c r="AF204" s="5"/>
      <c r="AG204" s="5"/>
      <c r="AH204" s="5"/>
      <c r="AI204" s="5"/>
      <c r="AJ204" s="5"/>
      <c r="AK204" s="5"/>
      <c r="AL204" s="5"/>
      <c r="AM204" s="5"/>
      <c r="AN204" s="17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28"/>
      <c r="BA204" s="5"/>
      <c r="BB204" s="5"/>
      <c r="BC204" s="5"/>
      <c r="BD204" s="5"/>
      <c r="BE204" s="5"/>
      <c r="BF204" s="28"/>
      <c r="BG204" s="28"/>
      <c r="BH204" s="5"/>
      <c r="BI204" s="5"/>
      <c r="BJ204" s="5">
        <f t="shared" si="8"/>
        <v>0</v>
      </c>
      <c r="BK204" s="42" t="s">
        <v>22</v>
      </c>
      <c r="BL204" s="42"/>
      <c r="BM204" s="13"/>
    </row>
    <row r="205" spans="1:65" s="8" customFormat="1" ht="11.25" hidden="1">
      <c r="A205" s="44"/>
      <c r="B205" s="9" t="str">
        <f>"LYUKASZTÓGÉP"</f>
        <v>LYUKASZTÓGÉP</v>
      </c>
      <c r="C205" s="9" t="str">
        <f>"RAPESCO 820-P"</f>
        <v>RAPESCO 820-P</v>
      </c>
      <c r="D205" s="21" t="s">
        <v>22</v>
      </c>
      <c r="E205" s="28"/>
      <c r="F205" s="28"/>
      <c r="G205" s="5"/>
      <c r="H205" s="34"/>
      <c r="I205" s="28"/>
      <c r="J205" s="28"/>
      <c r="K205" s="28"/>
      <c r="L205" s="28"/>
      <c r="M205" s="28"/>
      <c r="N205" s="28"/>
      <c r="O205" s="28"/>
      <c r="P205" s="28"/>
      <c r="Q205" s="5"/>
      <c r="R205" s="5"/>
      <c r="S205" s="5"/>
      <c r="T205" s="5"/>
      <c r="U205" s="5"/>
      <c r="V205" s="5"/>
      <c r="W205" s="28"/>
      <c r="X205" s="28"/>
      <c r="Y205" s="28"/>
      <c r="Z205" s="5"/>
      <c r="AA205" s="5"/>
      <c r="AB205" s="28"/>
      <c r="AC205" s="28"/>
      <c r="AD205" s="11"/>
      <c r="AE205" s="5"/>
      <c r="AF205" s="5"/>
      <c r="AG205" s="5"/>
      <c r="AH205" s="5"/>
      <c r="AI205" s="5"/>
      <c r="AJ205" s="5"/>
      <c r="AK205" s="5"/>
      <c r="AL205" s="5"/>
      <c r="AM205" s="5"/>
      <c r="AN205" s="17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28"/>
      <c r="BA205" s="5"/>
      <c r="BB205" s="5"/>
      <c r="BC205" s="5"/>
      <c r="BD205" s="5"/>
      <c r="BE205" s="5"/>
      <c r="BF205" s="28"/>
      <c r="BG205" s="28"/>
      <c r="BH205" s="5"/>
      <c r="BI205" s="5"/>
      <c r="BJ205" s="5">
        <f t="shared" si="8"/>
        <v>0</v>
      </c>
      <c r="BK205" s="42" t="s">
        <v>22</v>
      </c>
      <c r="BL205" s="42"/>
      <c r="BM205" s="13"/>
    </row>
    <row r="206" spans="1:65" s="8" customFormat="1" ht="11.25" hidden="1">
      <c r="A206" s="44"/>
      <c r="B206" s="9" t="str">
        <f>"LYUKASZTÓGÉP"</f>
        <v>LYUKASZTÓGÉP</v>
      </c>
      <c r="C206" s="9" t="str">
        <f>"SAX 318"</f>
        <v>SAX 318</v>
      </c>
      <c r="D206" s="21" t="s">
        <v>22</v>
      </c>
      <c r="E206" s="28"/>
      <c r="F206" s="28"/>
      <c r="G206" s="5"/>
      <c r="H206" s="34"/>
      <c r="I206" s="28"/>
      <c r="J206" s="28"/>
      <c r="K206" s="28"/>
      <c r="L206" s="28"/>
      <c r="M206" s="28"/>
      <c r="N206" s="28"/>
      <c r="O206" s="28"/>
      <c r="P206" s="28"/>
      <c r="Q206" s="5"/>
      <c r="R206" s="5"/>
      <c r="S206" s="5"/>
      <c r="T206" s="5"/>
      <c r="U206" s="5"/>
      <c r="V206" s="5"/>
      <c r="W206" s="28"/>
      <c r="X206" s="28"/>
      <c r="Y206" s="28"/>
      <c r="Z206" s="5"/>
      <c r="AA206" s="5"/>
      <c r="AB206" s="28"/>
      <c r="AC206" s="28"/>
      <c r="AD206" s="11"/>
      <c r="AE206" s="5"/>
      <c r="AF206" s="5"/>
      <c r="AG206" s="5"/>
      <c r="AH206" s="5"/>
      <c r="AI206" s="5"/>
      <c r="AJ206" s="5"/>
      <c r="AK206" s="5"/>
      <c r="AL206" s="5"/>
      <c r="AM206" s="5"/>
      <c r="AN206" s="17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28"/>
      <c r="BA206" s="5"/>
      <c r="BB206" s="5"/>
      <c r="BC206" s="5"/>
      <c r="BD206" s="5"/>
      <c r="BE206" s="5"/>
      <c r="BF206" s="28"/>
      <c r="BG206" s="28"/>
      <c r="BH206" s="5"/>
      <c r="BI206" s="5"/>
      <c r="BJ206" s="5">
        <f t="shared" si="8"/>
        <v>0</v>
      </c>
      <c r="BK206" s="42" t="s">
        <v>22</v>
      </c>
      <c r="BL206" s="42"/>
      <c r="BM206" s="13"/>
    </row>
    <row r="207" spans="1:65" s="8" customFormat="1" ht="11.25" hidden="1">
      <c r="A207" s="44"/>
      <c r="B207" s="9" t="str">
        <f>"MAGIC CLIP ADAGOLÓ"</f>
        <v>MAGIC CLIP ADAGOLÓ</v>
      </c>
      <c r="C207" s="9"/>
      <c r="D207" s="21" t="s">
        <v>22</v>
      </c>
      <c r="E207" s="28"/>
      <c r="F207" s="28"/>
      <c r="G207" s="5"/>
      <c r="H207" s="34"/>
      <c r="I207" s="28"/>
      <c r="J207" s="28"/>
      <c r="K207" s="28"/>
      <c r="L207" s="28"/>
      <c r="M207" s="28"/>
      <c r="N207" s="28"/>
      <c r="O207" s="28"/>
      <c r="P207" s="28"/>
      <c r="Q207" s="5"/>
      <c r="R207" s="5"/>
      <c r="S207" s="5"/>
      <c r="T207" s="5"/>
      <c r="U207" s="5"/>
      <c r="V207" s="5"/>
      <c r="W207" s="28"/>
      <c r="X207" s="28"/>
      <c r="Y207" s="28"/>
      <c r="Z207" s="5"/>
      <c r="AA207" s="5"/>
      <c r="AB207" s="28"/>
      <c r="AC207" s="28"/>
      <c r="AD207" s="11"/>
      <c r="AE207" s="5"/>
      <c r="AF207" s="5"/>
      <c r="AG207" s="5"/>
      <c r="AH207" s="5"/>
      <c r="AI207" s="5"/>
      <c r="AJ207" s="5"/>
      <c r="AK207" s="5"/>
      <c r="AL207" s="5"/>
      <c r="AM207" s="5"/>
      <c r="AN207" s="17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28"/>
      <c r="BA207" s="5"/>
      <c r="BB207" s="5"/>
      <c r="BC207" s="5"/>
      <c r="BD207" s="5"/>
      <c r="BE207" s="5"/>
      <c r="BF207" s="28"/>
      <c r="BG207" s="28"/>
      <c r="BH207" s="5"/>
      <c r="BI207" s="5"/>
      <c r="BJ207" s="5">
        <f t="shared" si="8"/>
        <v>0</v>
      </c>
      <c r="BK207" s="42" t="s">
        <v>22</v>
      </c>
      <c r="BL207" s="42"/>
      <c r="BM207" s="13"/>
    </row>
    <row r="208" spans="1:65" s="8" customFormat="1" ht="11.25">
      <c r="A208" s="44" t="s">
        <v>247</v>
      </c>
      <c r="B208" s="9" t="s">
        <v>33</v>
      </c>
      <c r="C208" s="9" t="str">
        <f>"PRITT"</f>
        <v>PRITT</v>
      </c>
      <c r="D208" s="21" t="s">
        <v>22</v>
      </c>
      <c r="E208" s="27"/>
      <c r="F208" s="27"/>
      <c r="G208" s="4"/>
      <c r="H208" s="34"/>
      <c r="I208" s="27"/>
      <c r="J208" s="27"/>
      <c r="K208" s="27"/>
      <c r="L208" s="27"/>
      <c r="M208" s="27"/>
      <c r="N208" s="27"/>
      <c r="O208" s="27"/>
      <c r="P208" s="27"/>
      <c r="Q208" s="4"/>
      <c r="R208" s="4"/>
      <c r="S208" s="4"/>
      <c r="T208" s="4"/>
      <c r="U208" s="4"/>
      <c r="V208" s="4">
        <v>1</v>
      </c>
      <c r="W208" s="27"/>
      <c r="X208" s="27"/>
      <c r="Y208" s="27"/>
      <c r="Z208" s="4"/>
      <c r="AA208" s="4"/>
      <c r="AB208" s="27"/>
      <c r="AC208" s="27"/>
      <c r="AD208" s="10"/>
      <c r="AE208" s="4"/>
      <c r="AF208" s="4"/>
      <c r="AG208" s="4"/>
      <c r="AH208" s="4"/>
      <c r="AI208" s="4"/>
      <c r="AJ208" s="4"/>
      <c r="AK208" s="4"/>
      <c r="AL208" s="4"/>
      <c r="AM208" s="4"/>
      <c r="AN208" s="17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27"/>
      <c r="BA208" s="4"/>
      <c r="BB208" s="4"/>
      <c r="BC208" s="4"/>
      <c r="BD208" s="4"/>
      <c r="BE208" s="4"/>
      <c r="BF208" s="27"/>
      <c r="BG208" s="27"/>
      <c r="BH208" s="4"/>
      <c r="BI208" s="4"/>
      <c r="BJ208" s="5">
        <f t="shared" si="8"/>
        <v>1</v>
      </c>
      <c r="BK208" s="42" t="s">
        <v>22</v>
      </c>
      <c r="BL208" s="42"/>
      <c r="BM208" s="13"/>
    </row>
    <row r="209" spans="1:65" s="8" customFormat="1" ht="11.25">
      <c r="A209" s="44" t="s">
        <v>248</v>
      </c>
      <c r="B209" s="9" t="s">
        <v>41</v>
      </c>
      <c r="C209" s="9" t="s">
        <v>124</v>
      </c>
      <c r="D209" s="21" t="s">
        <v>22</v>
      </c>
      <c r="E209" s="28">
        <v>5</v>
      </c>
      <c r="F209" s="28"/>
      <c r="G209" s="5"/>
      <c r="H209" s="34"/>
      <c r="I209" s="28"/>
      <c r="J209" s="28"/>
      <c r="K209" s="28"/>
      <c r="L209" s="28"/>
      <c r="M209" s="28"/>
      <c r="N209" s="28"/>
      <c r="O209" s="28"/>
      <c r="P209" s="28"/>
      <c r="Q209" s="5"/>
      <c r="R209" s="5"/>
      <c r="S209" s="5"/>
      <c r="T209" s="5"/>
      <c r="U209" s="5"/>
      <c r="V209" s="5"/>
      <c r="W209" s="28"/>
      <c r="X209" s="28"/>
      <c r="Y209" s="28"/>
      <c r="Z209" s="5"/>
      <c r="AA209" s="5"/>
      <c r="AB209" s="28"/>
      <c r="AC209" s="28"/>
      <c r="AD209" s="11"/>
      <c r="AE209" s="5"/>
      <c r="AF209" s="5"/>
      <c r="AG209" s="5"/>
      <c r="AH209" s="5"/>
      <c r="AI209" s="5"/>
      <c r="AJ209" s="5"/>
      <c r="AK209" s="5"/>
      <c r="AL209" s="5"/>
      <c r="AM209" s="5"/>
      <c r="AN209" s="17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28"/>
      <c r="BA209" s="5"/>
      <c r="BB209" s="5"/>
      <c r="BC209" s="5"/>
      <c r="BD209" s="5"/>
      <c r="BE209" s="5"/>
      <c r="BF209" s="28"/>
      <c r="BG209" s="28"/>
      <c r="BH209" s="5"/>
      <c r="BI209" s="5"/>
      <c r="BJ209" s="5">
        <f t="shared" si="8"/>
        <v>5</v>
      </c>
      <c r="BK209" s="42" t="s">
        <v>22</v>
      </c>
      <c r="BL209" s="42"/>
      <c r="BM209" s="13"/>
    </row>
    <row r="210" spans="1:65" s="8" customFormat="1" ht="11.25">
      <c r="A210" s="44" t="s">
        <v>249</v>
      </c>
      <c r="B210" s="9" t="s">
        <v>41</v>
      </c>
      <c r="C210" s="9" t="s">
        <v>70</v>
      </c>
      <c r="D210" s="21" t="s">
        <v>22</v>
      </c>
      <c r="E210" s="28">
        <v>5</v>
      </c>
      <c r="F210" s="28"/>
      <c r="G210" s="5"/>
      <c r="H210" s="34"/>
      <c r="I210" s="28"/>
      <c r="J210" s="28"/>
      <c r="K210" s="28"/>
      <c r="L210" s="28"/>
      <c r="M210" s="28"/>
      <c r="N210" s="28"/>
      <c r="O210" s="28"/>
      <c r="P210" s="28"/>
      <c r="Q210" s="5"/>
      <c r="R210" s="5"/>
      <c r="S210" s="5"/>
      <c r="T210" s="5"/>
      <c r="U210" s="5"/>
      <c r="V210" s="5"/>
      <c r="W210" s="28"/>
      <c r="X210" s="28"/>
      <c r="Y210" s="28"/>
      <c r="Z210" s="5"/>
      <c r="AA210" s="5"/>
      <c r="AB210" s="28"/>
      <c r="AC210" s="28"/>
      <c r="AD210" s="11"/>
      <c r="AE210" s="5"/>
      <c r="AF210" s="5"/>
      <c r="AG210" s="5"/>
      <c r="AH210" s="5"/>
      <c r="AI210" s="5"/>
      <c r="AJ210" s="5"/>
      <c r="AK210" s="5"/>
      <c r="AL210" s="5"/>
      <c r="AM210" s="5"/>
      <c r="AN210" s="17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28"/>
      <c r="BA210" s="5"/>
      <c r="BB210" s="5"/>
      <c r="BC210" s="5"/>
      <c r="BD210" s="5"/>
      <c r="BE210" s="5"/>
      <c r="BF210" s="28"/>
      <c r="BG210" s="28"/>
      <c r="BH210" s="5"/>
      <c r="BI210" s="5"/>
      <c r="BJ210" s="5">
        <f t="shared" si="8"/>
        <v>5</v>
      </c>
      <c r="BK210" s="42" t="s">
        <v>22</v>
      </c>
      <c r="BL210" s="42"/>
      <c r="BM210" s="13"/>
    </row>
    <row r="211" spans="1:65" s="9" customFormat="1" ht="11.25" hidden="1">
      <c r="A211" s="43"/>
      <c r="B211" s="9" t="str">
        <f>"MUNKABALESETI JEGYZŐKÖNYV"</f>
        <v>MUNKABALESETI JEGYZŐKÖNYV</v>
      </c>
      <c r="C211" s="9" t="str">
        <f>"346/A"</f>
        <v>346/A</v>
      </c>
      <c r="D211" s="21" t="s">
        <v>22</v>
      </c>
      <c r="E211" s="27"/>
      <c r="F211" s="27"/>
      <c r="G211" s="4"/>
      <c r="H211" s="34"/>
      <c r="I211" s="27"/>
      <c r="J211" s="27"/>
      <c r="K211" s="27"/>
      <c r="L211" s="27"/>
      <c r="M211" s="27"/>
      <c r="N211" s="27"/>
      <c r="O211" s="27"/>
      <c r="P211" s="27"/>
      <c r="Q211" s="4"/>
      <c r="R211" s="4"/>
      <c r="S211" s="4"/>
      <c r="T211" s="4"/>
      <c r="U211" s="4"/>
      <c r="V211" s="4"/>
      <c r="W211" s="27"/>
      <c r="X211" s="27"/>
      <c r="Y211" s="27"/>
      <c r="Z211" s="4"/>
      <c r="AA211" s="4"/>
      <c r="AB211" s="27"/>
      <c r="AC211" s="27"/>
      <c r="AD211" s="10"/>
      <c r="AE211" s="4"/>
      <c r="AF211" s="4"/>
      <c r="AG211" s="4"/>
      <c r="AH211" s="4"/>
      <c r="AI211" s="4"/>
      <c r="AJ211" s="4"/>
      <c r="AK211" s="4"/>
      <c r="AL211" s="4"/>
      <c r="AM211" s="4"/>
      <c r="AN211" s="17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27"/>
      <c r="BA211" s="4"/>
      <c r="BB211" s="4"/>
      <c r="BC211" s="4"/>
      <c r="BD211" s="4"/>
      <c r="BE211" s="4"/>
      <c r="BF211" s="27"/>
      <c r="BG211" s="27"/>
      <c r="BH211" s="4"/>
      <c r="BI211" s="4"/>
      <c r="BJ211" s="5">
        <f t="shared" si="8"/>
        <v>0</v>
      </c>
      <c r="BK211" s="41"/>
      <c r="BL211" s="41"/>
      <c r="BM211" s="51"/>
    </row>
    <row r="212" spans="1:65" s="9" customFormat="1" ht="11.25" hidden="1">
      <c r="A212" s="43"/>
      <c r="B212" s="9" t="str">
        <f>"MUNKAHELYI ITTASSÁGI JEGYZŐKÖNYV"</f>
        <v>MUNKAHELYI ITTASSÁGI JEGYZŐKÖNYV</v>
      </c>
      <c r="D212" s="21" t="s">
        <v>22</v>
      </c>
      <c r="E212" s="27"/>
      <c r="F212" s="27"/>
      <c r="G212" s="4"/>
      <c r="H212" s="34"/>
      <c r="I212" s="27"/>
      <c r="J212" s="27"/>
      <c r="K212" s="27"/>
      <c r="L212" s="27"/>
      <c r="M212" s="27"/>
      <c r="N212" s="27"/>
      <c r="O212" s="27"/>
      <c r="P212" s="27"/>
      <c r="Q212" s="4"/>
      <c r="R212" s="4"/>
      <c r="S212" s="4"/>
      <c r="T212" s="4"/>
      <c r="U212" s="4"/>
      <c r="V212" s="4"/>
      <c r="W212" s="27"/>
      <c r="X212" s="27"/>
      <c r="Y212" s="27"/>
      <c r="Z212" s="4"/>
      <c r="AA212" s="4"/>
      <c r="AB212" s="27"/>
      <c r="AC212" s="27"/>
      <c r="AD212" s="10"/>
      <c r="AE212" s="4"/>
      <c r="AF212" s="4"/>
      <c r="AG212" s="4"/>
      <c r="AH212" s="4"/>
      <c r="AI212" s="4"/>
      <c r="AJ212" s="4"/>
      <c r="AK212" s="4"/>
      <c r="AL212" s="4"/>
      <c r="AM212" s="4"/>
      <c r="AN212" s="17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27"/>
      <c r="BA212" s="4"/>
      <c r="BB212" s="4"/>
      <c r="BC212" s="4"/>
      <c r="BD212" s="4"/>
      <c r="BE212" s="4"/>
      <c r="BF212" s="27"/>
      <c r="BG212" s="27"/>
      <c r="BH212" s="4"/>
      <c r="BI212" s="4"/>
      <c r="BJ212" s="5">
        <f t="shared" si="8"/>
        <v>0</v>
      </c>
      <c r="BK212" s="41"/>
      <c r="BL212" s="41"/>
      <c r="BM212" s="51"/>
    </row>
    <row r="213" spans="1:65" s="9" customFormat="1" ht="11.25" hidden="1">
      <c r="A213" s="43"/>
      <c r="B213" s="9" t="str">
        <f>"MUNKAHELYI MUNKABALESETI NAPLÓ"</f>
        <v>MUNKAHELYI MUNKABALESETI NAPLÓ</v>
      </c>
      <c r="C213" s="9" t="str">
        <f>"347"</f>
        <v>347</v>
      </c>
      <c r="D213" s="21" t="s">
        <v>22</v>
      </c>
      <c r="E213" s="27"/>
      <c r="F213" s="27"/>
      <c r="G213" s="4"/>
      <c r="H213" s="34"/>
      <c r="I213" s="27"/>
      <c r="J213" s="27"/>
      <c r="K213" s="27"/>
      <c r="L213" s="27"/>
      <c r="M213" s="27"/>
      <c r="N213" s="27"/>
      <c r="O213" s="27"/>
      <c r="P213" s="27"/>
      <c r="Q213" s="4"/>
      <c r="R213" s="4"/>
      <c r="S213" s="4"/>
      <c r="T213" s="4"/>
      <c r="U213" s="4"/>
      <c r="V213" s="4"/>
      <c r="W213" s="27"/>
      <c r="X213" s="27"/>
      <c r="Y213" s="27"/>
      <c r="Z213" s="4"/>
      <c r="AA213" s="4"/>
      <c r="AB213" s="27"/>
      <c r="AC213" s="27"/>
      <c r="AD213" s="10"/>
      <c r="AE213" s="4"/>
      <c r="AF213" s="4"/>
      <c r="AG213" s="4"/>
      <c r="AH213" s="4"/>
      <c r="AI213" s="4"/>
      <c r="AJ213" s="4"/>
      <c r="AK213" s="4"/>
      <c r="AL213" s="4"/>
      <c r="AM213" s="4"/>
      <c r="AN213" s="17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27"/>
      <c r="BA213" s="4"/>
      <c r="BB213" s="4"/>
      <c r="BC213" s="4"/>
      <c r="BD213" s="4"/>
      <c r="BE213" s="4"/>
      <c r="BF213" s="27"/>
      <c r="BG213" s="27"/>
      <c r="BH213" s="4"/>
      <c r="BI213" s="4"/>
      <c r="BJ213" s="5">
        <f t="shared" si="8"/>
        <v>0</v>
      </c>
      <c r="BK213" s="41"/>
      <c r="BL213" s="41"/>
      <c r="BM213" s="51"/>
    </row>
    <row r="214" spans="1:65" s="9" customFormat="1" ht="11.25" hidden="1">
      <c r="A214" s="43"/>
      <c r="B214" s="9" t="str">
        <f>"MUNKAKÖRI ALK. ITTASSÁGI NAPLÓ"</f>
        <v>MUNKAKÖRI ALK. ITTASSÁGI NAPLÓ</v>
      </c>
      <c r="D214" s="21" t="s">
        <v>22</v>
      </c>
      <c r="E214" s="27"/>
      <c r="F214" s="27"/>
      <c r="G214" s="4"/>
      <c r="H214" s="34"/>
      <c r="I214" s="27"/>
      <c r="J214" s="27"/>
      <c r="K214" s="27"/>
      <c r="L214" s="27"/>
      <c r="M214" s="27"/>
      <c r="N214" s="27"/>
      <c r="O214" s="27"/>
      <c r="P214" s="27"/>
      <c r="Q214" s="4"/>
      <c r="R214" s="4"/>
      <c r="S214" s="4"/>
      <c r="T214" s="4"/>
      <c r="U214" s="4"/>
      <c r="V214" s="4"/>
      <c r="W214" s="27"/>
      <c r="X214" s="27"/>
      <c r="Y214" s="27"/>
      <c r="Z214" s="4"/>
      <c r="AA214" s="4"/>
      <c r="AB214" s="27"/>
      <c r="AC214" s="27"/>
      <c r="AD214" s="10"/>
      <c r="AE214" s="4"/>
      <c r="AF214" s="4"/>
      <c r="AG214" s="4"/>
      <c r="AH214" s="4"/>
      <c r="AI214" s="4"/>
      <c r="AJ214" s="4"/>
      <c r="AK214" s="4"/>
      <c r="AL214" s="4"/>
      <c r="AM214" s="4"/>
      <c r="AN214" s="17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27"/>
      <c r="BA214" s="4"/>
      <c r="BB214" s="4"/>
      <c r="BC214" s="4"/>
      <c r="BD214" s="4"/>
      <c r="BE214" s="4"/>
      <c r="BF214" s="27"/>
      <c r="BG214" s="27"/>
      <c r="BH214" s="4"/>
      <c r="BI214" s="4"/>
      <c r="BJ214" s="5">
        <f t="shared" si="8"/>
        <v>0</v>
      </c>
      <c r="BK214" s="41"/>
      <c r="BL214" s="41"/>
      <c r="BM214" s="51"/>
    </row>
    <row r="215" spans="1:65" s="9" customFormat="1" ht="11.25" hidden="1">
      <c r="A215" s="43"/>
      <c r="B215" s="9" t="str">
        <f>"MUNKAKÖRI ORVOSI ALK.VIZSGÁLAT"</f>
        <v>MUNKAKÖRI ORVOSI ALK.VIZSGÁLAT</v>
      </c>
      <c r="D215" s="21" t="s">
        <v>22</v>
      </c>
      <c r="E215" s="27"/>
      <c r="F215" s="27"/>
      <c r="G215" s="4"/>
      <c r="H215" s="34"/>
      <c r="I215" s="27"/>
      <c r="J215" s="27"/>
      <c r="K215" s="27"/>
      <c r="L215" s="27"/>
      <c r="M215" s="27"/>
      <c r="N215" s="27"/>
      <c r="O215" s="27"/>
      <c r="P215" s="27"/>
      <c r="Q215" s="4"/>
      <c r="R215" s="4"/>
      <c r="S215" s="4"/>
      <c r="T215" s="4"/>
      <c r="U215" s="4"/>
      <c r="V215" s="4"/>
      <c r="W215" s="27"/>
      <c r="X215" s="27"/>
      <c r="Y215" s="27"/>
      <c r="Z215" s="4"/>
      <c r="AA215" s="4"/>
      <c r="AB215" s="27"/>
      <c r="AC215" s="27"/>
      <c r="AD215" s="10"/>
      <c r="AE215" s="4"/>
      <c r="AF215" s="4"/>
      <c r="AG215" s="4"/>
      <c r="AH215" s="4"/>
      <c r="AI215" s="4"/>
      <c r="AJ215" s="4"/>
      <c r="AK215" s="4"/>
      <c r="AL215" s="4"/>
      <c r="AM215" s="4"/>
      <c r="AN215" s="17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27"/>
      <c r="BA215" s="4"/>
      <c r="BB215" s="4"/>
      <c r="BC215" s="4"/>
      <c r="BD215" s="4"/>
      <c r="BE215" s="4"/>
      <c r="BF215" s="27"/>
      <c r="BG215" s="27"/>
      <c r="BH215" s="4"/>
      <c r="BI215" s="4"/>
      <c r="BJ215" s="5">
        <f t="shared" si="8"/>
        <v>0</v>
      </c>
      <c r="BK215" s="41"/>
      <c r="BL215" s="41"/>
      <c r="BM215" s="51"/>
    </row>
    <row r="216" spans="1:65" s="9" customFormat="1" ht="11.25" hidden="1">
      <c r="A216" s="43"/>
      <c r="B216" s="9" t="str">
        <f>"MUNKALAP (ELŐLAP-2PLD-OS)"</f>
        <v>MUNKALAP (ELŐLAP-2PLD-OS)</v>
      </c>
      <c r="C216" s="9" t="str">
        <f>"A/4"</f>
        <v>A/4</v>
      </c>
      <c r="D216" s="21" t="s">
        <v>22</v>
      </c>
      <c r="E216" s="27"/>
      <c r="F216" s="27"/>
      <c r="G216" s="4"/>
      <c r="H216" s="34"/>
      <c r="I216" s="27"/>
      <c r="J216" s="27"/>
      <c r="K216" s="27"/>
      <c r="L216" s="27"/>
      <c r="M216" s="27"/>
      <c r="N216" s="27"/>
      <c r="O216" s="27"/>
      <c r="P216" s="27"/>
      <c r="Q216" s="4"/>
      <c r="R216" s="4"/>
      <c r="S216" s="4"/>
      <c r="T216" s="4"/>
      <c r="U216" s="4"/>
      <c r="V216" s="4"/>
      <c r="W216" s="27"/>
      <c r="X216" s="27"/>
      <c r="Y216" s="27"/>
      <c r="Z216" s="4"/>
      <c r="AA216" s="4"/>
      <c r="AB216" s="27"/>
      <c r="AC216" s="27"/>
      <c r="AD216" s="10"/>
      <c r="AE216" s="4"/>
      <c r="AF216" s="4"/>
      <c r="AG216" s="4"/>
      <c r="AH216" s="4"/>
      <c r="AI216" s="4"/>
      <c r="AJ216" s="4"/>
      <c r="AK216" s="4"/>
      <c r="AL216" s="4"/>
      <c r="AM216" s="4"/>
      <c r="AN216" s="17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27"/>
      <c r="BA216" s="4"/>
      <c r="BB216" s="4"/>
      <c r="BC216" s="4"/>
      <c r="BD216" s="4"/>
      <c r="BE216" s="4"/>
      <c r="BF216" s="27"/>
      <c r="BG216" s="27"/>
      <c r="BH216" s="4"/>
      <c r="BI216" s="4"/>
      <c r="BJ216" s="5">
        <f t="shared" si="8"/>
        <v>0</v>
      </c>
      <c r="BK216" s="41"/>
      <c r="BL216" s="41"/>
      <c r="BM216" s="51"/>
    </row>
    <row r="217" spans="1:65" s="9" customFormat="1" ht="11.25" hidden="1">
      <c r="A217" s="43"/>
      <c r="B217" s="9" t="str">
        <f>"MUNKALAP (HÁTLAP-2PLD-OS)"</f>
        <v>MUNKALAP (HÁTLAP-2PLD-OS)</v>
      </c>
      <c r="C217" s="9" t="str">
        <f>"A/4"</f>
        <v>A/4</v>
      </c>
      <c r="D217" s="21" t="s">
        <v>22</v>
      </c>
      <c r="E217" s="27"/>
      <c r="F217" s="27"/>
      <c r="G217" s="4"/>
      <c r="H217" s="34"/>
      <c r="I217" s="27"/>
      <c r="J217" s="27"/>
      <c r="K217" s="27"/>
      <c r="L217" s="27"/>
      <c r="M217" s="27"/>
      <c r="N217" s="27"/>
      <c r="O217" s="27"/>
      <c r="P217" s="27"/>
      <c r="Q217" s="4"/>
      <c r="R217" s="4"/>
      <c r="S217" s="4"/>
      <c r="T217" s="4"/>
      <c r="U217" s="4"/>
      <c r="V217" s="4"/>
      <c r="W217" s="27"/>
      <c r="X217" s="27"/>
      <c r="Y217" s="27"/>
      <c r="Z217" s="4"/>
      <c r="AA217" s="4"/>
      <c r="AB217" s="27"/>
      <c r="AC217" s="27"/>
      <c r="AD217" s="10"/>
      <c r="AE217" s="4"/>
      <c r="AF217" s="4"/>
      <c r="AG217" s="4"/>
      <c r="AH217" s="4"/>
      <c r="AI217" s="4"/>
      <c r="AJ217" s="4"/>
      <c r="AK217" s="4"/>
      <c r="AL217" s="4"/>
      <c r="AM217" s="4"/>
      <c r="AN217" s="17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27"/>
      <c r="BA217" s="4"/>
      <c r="BB217" s="4"/>
      <c r="BC217" s="4"/>
      <c r="BD217" s="4"/>
      <c r="BE217" s="4"/>
      <c r="BF217" s="27"/>
      <c r="BG217" s="27"/>
      <c r="BH217" s="4"/>
      <c r="BI217" s="4"/>
      <c r="BJ217" s="5">
        <f t="shared" si="8"/>
        <v>0</v>
      </c>
      <c r="BK217" s="41"/>
      <c r="BL217" s="41"/>
      <c r="BM217" s="51"/>
    </row>
    <row r="218" spans="1:65" s="9" customFormat="1" ht="11.25" hidden="1">
      <c r="A218" s="43"/>
      <c r="B218" s="9" t="str">
        <f>"MUNKAÜGYI TASAK"</f>
        <v>MUNKAÜGYI TASAK</v>
      </c>
      <c r="C218" s="9" t="str">
        <f>"11.R.SZ."</f>
        <v>11.R.SZ.</v>
      </c>
      <c r="D218" s="21" t="s">
        <v>22</v>
      </c>
      <c r="E218" s="27"/>
      <c r="F218" s="27"/>
      <c r="G218" s="4"/>
      <c r="H218" s="34"/>
      <c r="I218" s="27"/>
      <c r="J218" s="27"/>
      <c r="K218" s="27"/>
      <c r="L218" s="27"/>
      <c r="M218" s="27"/>
      <c r="N218" s="27"/>
      <c r="O218" s="27"/>
      <c r="P218" s="27"/>
      <c r="Q218" s="4"/>
      <c r="R218" s="4"/>
      <c r="S218" s="4"/>
      <c r="T218" s="4"/>
      <c r="U218" s="4"/>
      <c r="V218" s="4"/>
      <c r="W218" s="27"/>
      <c r="X218" s="27"/>
      <c r="Y218" s="27"/>
      <c r="Z218" s="4"/>
      <c r="AA218" s="4"/>
      <c r="AB218" s="27"/>
      <c r="AC218" s="27"/>
      <c r="AD218" s="10"/>
      <c r="AE218" s="4"/>
      <c r="AF218" s="4"/>
      <c r="AG218" s="4"/>
      <c r="AH218" s="4"/>
      <c r="AI218" s="4"/>
      <c r="AJ218" s="4"/>
      <c r="AK218" s="4"/>
      <c r="AL218" s="4"/>
      <c r="AM218" s="4"/>
      <c r="AN218" s="17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27"/>
      <c r="BA218" s="4"/>
      <c r="BB218" s="4"/>
      <c r="BC218" s="4"/>
      <c r="BD218" s="4"/>
      <c r="BE218" s="4"/>
      <c r="BF218" s="27"/>
      <c r="BG218" s="27"/>
      <c r="BH218" s="4"/>
      <c r="BI218" s="4"/>
      <c r="BJ218" s="5">
        <f t="shared" si="8"/>
        <v>0</v>
      </c>
      <c r="BK218" s="41"/>
      <c r="BL218" s="41"/>
      <c r="BM218" s="51"/>
    </row>
    <row r="219" spans="1:65" s="9" customFormat="1" ht="11.25" hidden="1">
      <c r="A219" s="43"/>
      <c r="B219" s="9" t="str">
        <f>"MUNKAVÁLLALÓI KARTON"</f>
        <v>MUNKAVÁLLALÓI KARTON</v>
      </c>
      <c r="C219" s="9" t="str">
        <f>"B.VÁLL 11."</f>
        <v>B.VÁLL 11.</v>
      </c>
      <c r="D219" s="21" t="s">
        <v>22</v>
      </c>
      <c r="E219" s="27"/>
      <c r="F219" s="27"/>
      <c r="G219" s="4"/>
      <c r="H219" s="34"/>
      <c r="I219" s="27"/>
      <c r="J219" s="27"/>
      <c r="K219" s="27"/>
      <c r="L219" s="27"/>
      <c r="M219" s="27"/>
      <c r="N219" s="27"/>
      <c r="O219" s="27"/>
      <c r="P219" s="27"/>
      <c r="Q219" s="4"/>
      <c r="R219" s="4"/>
      <c r="S219" s="4"/>
      <c r="T219" s="4"/>
      <c r="U219" s="4"/>
      <c r="V219" s="4"/>
      <c r="W219" s="27"/>
      <c r="X219" s="27"/>
      <c r="Y219" s="27"/>
      <c r="Z219" s="4"/>
      <c r="AA219" s="4"/>
      <c r="AB219" s="27"/>
      <c r="AC219" s="27"/>
      <c r="AD219" s="10"/>
      <c r="AE219" s="4"/>
      <c r="AF219" s="4"/>
      <c r="AG219" s="4"/>
      <c r="AH219" s="4"/>
      <c r="AI219" s="4"/>
      <c r="AJ219" s="4"/>
      <c r="AK219" s="4"/>
      <c r="AL219" s="4"/>
      <c r="AM219" s="4"/>
      <c r="AN219" s="17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27"/>
      <c r="BA219" s="4"/>
      <c r="BB219" s="4"/>
      <c r="BC219" s="4"/>
      <c r="BD219" s="4"/>
      <c r="BE219" s="4"/>
      <c r="BF219" s="27"/>
      <c r="BG219" s="27"/>
      <c r="BH219" s="4"/>
      <c r="BI219" s="4"/>
      <c r="BJ219" s="5">
        <f t="shared" si="8"/>
        <v>0</v>
      </c>
      <c r="BK219" s="41"/>
      <c r="BL219" s="41"/>
      <c r="BM219" s="51"/>
    </row>
    <row r="220" spans="1:65" s="8" customFormat="1" ht="11.25" hidden="1">
      <c r="A220" s="44"/>
      <c r="B220" s="9" t="s">
        <v>41</v>
      </c>
      <c r="C220" s="9" t="s">
        <v>71</v>
      </c>
      <c r="D220" s="21"/>
      <c r="E220" s="28"/>
      <c r="F220" s="28"/>
      <c r="G220" s="5"/>
      <c r="H220" s="34"/>
      <c r="I220" s="28"/>
      <c r="J220" s="28"/>
      <c r="K220" s="28"/>
      <c r="L220" s="28"/>
      <c r="M220" s="28"/>
      <c r="N220" s="28"/>
      <c r="O220" s="28"/>
      <c r="P220" s="28"/>
      <c r="Q220" s="5"/>
      <c r="R220" s="5"/>
      <c r="S220" s="5"/>
      <c r="T220" s="5"/>
      <c r="U220" s="5"/>
      <c r="V220" s="5"/>
      <c r="W220" s="28"/>
      <c r="X220" s="28"/>
      <c r="Y220" s="28"/>
      <c r="Z220" s="5"/>
      <c r="AA220" s="5"/>
      <c r="AB220" s="28"/>
      <c r="AC220" s="28"/>
      <c r="AD220" s="11"/>
      <c r="AE220" s="5"/>
      <c r="AF220" s="5"/>
      <c r="AG220" s="5"/>
      <c r="AH220" s="5"/>
      <c r="AI220" s="5"/>
      <c r="AJ220" s="5"/>
      <c r="AK220" s="5"/>
      <c r="AL220" s="5"/>
      <c r="AM220" s="5"/>
      <c r="AN220" s="17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28"/>
      <c r="BA220" s="5"/>
      <c r="BB220" s="5"/>
      <c r="BC220" s="5"/>
      <c r="BD220" s="5"/>
      <c r="BE220" s="5"/>
      <c r="BF220" s="28"/>
      <c r="BG220" s="28"/>
      <c r="BH220" s="5"/>
      <c r="BI220" s="5"/>
      <c r="BJ220" s="5">
        <f t="shared" si="8"/>
        <v>0</v>
      </c>
      <c r="BK220" s="42" t="s">
        <v>22</v>
      </c>
      <c r="BL220" s="42"/>
      <c r="BM220" s="13"/>
    </row>
    <row r="221" spans="1:65" s="8" customFormat="1" ht="11.25" hidden="1">
      <c r="A221" s="44"/>
      <c r="B221" s="9" t="s">
        <v>41</v>
      </c>
      <c r="C221" s="9" t="s">
        <v>71</v>
      </c>
      <c r="D221" s="21"/>
      <c r="E221" s="28"/>
      <c r="F221" s="28"/>
      <c r="G221" s="5"/>
      <c r="H221" s="34"/>
      <c r="I221" s="28"/>
      <c r="J221" s="28"/>
      <c r="K221" s="28"/>
      <c r="L221" s="28"/>
      <c r="M221" s="28"/>
      <c r="N221" s="28"/>
      <c r="O221" s="28"/>
      <c r="P221" s="28"/>
      <c r="Q221" s="5"/>
      <c r="R221" s="5"/>
      <c r="S221" s="5"/>
      <c r="T221" s="5"/>
      <c r="U221" s="5"/>
      <c r="V221" s="5"/>
      <c r="W221" s="28"/>
      <c r="X221" s="28"/>
      <c r="Y221" s="28"/>
      <c r="Z221" s="5"/>
      <c r="AA221" s="5"/>
      <c r="AB221" s="28"/>
      <c r="AC221" s="28"/>
      <c r="AD221" s="11"/>
      <c r="AE221" s="5"/>
      <c r="AF221" s="5"/>
      <c r="AG221" s="5"/>
      <c r="AH221" s="5"/>
      <c r="AI221" s="5"/>
      <c r="AJ221" s="5"/>
      <c r="AK221" s="5"/>
      <c r="AL221" s="5"/>
      <c r="AM221" s="5"/>
      <c r="AN221" s="17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28"/>
      <c r="BA221" s="5"/>
      <c r="BB221" s="5"/>
      <c r="BC221" s="5"/>
      <c r="BD221" s="5"/>
      <c r="BE221" s="5"/>
      <c r="BF221" s="28"/>
      <c r="BG221" s="28"/>
      <c r="BH221" s="5"/>
      <c r="BI221" s="5"/>
      <c r="BJ221" s="5">
        <f t="shared" si="8"/>
        <v>0</v>
      </c>
      <c r="BK221" s="42" t="s">
        <v>22</v>
      </c>
      <c r="BL221" s="42"/>
      <c r="BM221" s="13"/>
    </row>
    <row r="222" spans="1:67" s="8" customFormat="1" ht="11.25" hidden="1">
      <c r="A222" s="44"/>
      <c r="B222" s="9" t="s">
        <v>41</v>
      </c>
      <c r="C222" s="9" t="s">
        <v>71</v>
      </c>
      <c r="D222" s="21"/>
      <c r="E222" s="28"/>
      <c r="F222" s="28"/>
      <c r="G222" s="5"/>
      <c r="H222" s="34"/>
      <c r="I222" s="28"/>
      <c r="J222" s="28"/>
      <c r="K222" s="28"/>
      <c r="L222" s="28"/>
      <c r="M222" s="28"/>
      <c r="N222" s="28"/>
      <c r="O222" s="28"/>
      <c r="P222" s="28"/>
      <c r="Q222" s="5"/>
      <c r="R222" s="5"/>
      <c r="S222" s="5"/>
      <c r="T222" s="5"/>
      <c r="U222" s="5"/>
      <c r="V222" s="5"/>
      <c r="W222" s="28"/>
      <c r="X222" s="28"/>
      <c r="Y222" s="28"/>
      <c r="Z222" s="5"/>
      <c r="AA222" s="5"/>
      <c r="AB222" s="28"/>
      <c r="AC222" s="28"/>
      <c r="AD222" s="11"/>
      <c r="AE222" s="5"/>
      <c r="AF222" s="5"/>
      <c r="AG222" s="5"/>
      <c r="AH222" s="5"/>
      <c r="AI222" s="5"/>
      <c r="AJ222" s="5"/>
      <c r="AK222" s="5"/>
      <c r="AL222" s="5"/>
      <c r="AM222" s="5"/>
      <c r="AN222" s="17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28"/>
      <c r="BA222" s="5"/>
      <c r="BB222" s="5"/>
      <c r="BC222" s="5"/>
      <c r="BD222" s="5"/>
      <c r="BE222" s="5"/>
      <c r="BF222" s="28"/>
      <c r="BG222" s="28"/>
      <c r="BH222" s="5"/>
      <c r="BI222" s="5"/>
      <c r="BJ222" s="5">
        <f t="shared" si="8"/>
        <v>0</v>
      </c>
      <c r="BK222" s="42" t="s">
        <v>22</v>
      </c>
      <c r="BL222" s="42"/>
      <c r="BM222" s="13"/>
      <c r="BO222" s="9"/>
    </row>
    <row r="223" spans="1:67" s="9" customFormat="1" ht="11.25" hidden="1">
      <c r="A223" s="43"/>
      <c r="B223" s="9" t="s">
        <v>41</v>
      </c>
      <c r="C223" s="9" t="s">
        <v>71</v>
      </c>
      <c r="D223" s="17"/>
      <c r="E223" s="27"/>
      <c r="F223" s="27"/>
      <c r="G223" s="4"/>
      <c r="H223" s="34"/>
      <c r="I223" s="27"/>
      <c r="J223" s="27"/>
      <c r="K223" s="27"/>
      <c r="L223" s="27"/>
      <c r="M223" s="27"/>
      <c r="N223" s="27"/>
      <c r="O223" s="27"/>
      <c r="P223" s="27"/>
      <c r="Q223" s="4"/>
      <c r="R223" s="4"/>
      <c r="S223" s="4"/>
      <c r="T223" s="4"/>
      <c r="U223" s="4"/>
      <c r="V223" s="4"/>
      <c r="W223" s="27"/>
      <c r="X223" s="27"/>
      <c r="Y223" s="27"/>
      <c r="Z223" s="4"/>
      <c r="AA223" s="4"/>
      <c r="AB223" s="27"/>
      <c r="AC223" s="27"/>
      <c r="AD223" s="10"/>
      <c r="AE223" s="4"/>
      <c r="AF223" s="4"/>
      <c r="AG223" s="4"/>
      <c r="AH223" s="4"/>
      <c r="AI223" s="4"/>
      <c r="AJ223" s="4"/>
      <c r="AK223" s="4"/>
      <c r="AL223" s="4"/>
      <c r="AM223" s="4"/>
      <c r="AN223" s="17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27"/>
      <c r="BA223" s="4"/>
      <c r="BB223" s="4"/>
      <c r="BC223" s="4"/>
      <c r="BD223" s="4"/>
      <c r="BE223" s="4"/>
      <c r="BF223" s="27"/>
      <c r="BG223" s="27"/>
      <c r="BH223" s="4"/>
      <c r="BI223" s="4"/>
      <c r="BJ223" s="5">
        <f t="shared" si="8"/>
        <v>0</v>
      </c>
      <c r="BK223" s="42" t="s">
        <v>22</v>
      </c>
      <c r="BL223" s="42"/>
      <c r="BM223" s="51"/>
      <c r="BO223" s="8"/>
    </row>
    <row r="224" spans="1:67" s="8" customFormat="1" ht="11.25" hidden="1">
      <c r="A224" s="44"/>
      <c r="B224" s="9" t="s">
        <v>41</v>
      </c>
      <c r="C224" s="9" t="s">
        <v>71</v>
      </c>
      <c r="D224" s="21"/>
      <c r="E224" s="28"/>
      <c r="F224" s="28"/>
      <c r="G224" s="5"/>
      <c r="H224" s="34"/>
      <c r="I224" s="28"/>
      <c r="J224" s="28"/>
      <c r="K224" s="28"/>
      <c r="L224" s="28"/>
      <c r="M224" s="28"/>
      <c r="N224" s="28"/>
      <c r="O224" s="28"/>
      <c r="P224" s="28"/>
      <c r="Q224" s="5"/>
      <c r="R224" s="5"/>
      <c r="S224" s="5"/>
      <c r="T224" s="5"/>
      <c r="U224" s="5"/>
      <c r="V224" s="5"/>
      <c r="W224" s="28"/>
      <c r="X224" s="28"/>
      <c r="Y224" s="28"/>
      <c r="Z224" s="5"/>
      <c r="AA224" s="5"/>
      <c r="AB224" s="28"/>
      <c r="AC224" s="28"/>
      <c r="AD224" s="11"/>
      <c r="AE224" s="5"/>
      <c r="AF224" s="5"/>
      <c r="AG224" s="5"/>
      <c r="AH224" s="5"/>
      <c r="AI224" s="5"/>
      <c r="AJ224" s="5"/>
      <c r="AK224" s="5"/>
      <c r="AL224" s="5"/>
      <c r="AM224" s="5"/>
      <c r="AN224" s="17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28"/>
      <c r="BA224" s="5"/>
      <c r="BB224" s="5"/>
      <c r="BC224" s="5"/>
      <c r="BD224" s="5"/>
      <c r="BE224" s="5"/>
      <c r="BF224" s="28"/>
      <c r="BG224" s="28"/>
      <c r="BH224" s="5"/>
      <c r="BI224" s="5"/>
      <c r="BJ224" s="5">
        <f t="shared" si="8"/>
        <v>0</v>
      </c>
      <c r="BK224" s="42" t="s">
        <v>22</v>
      </c>
      <c r="BL224" s="42"/>
      <c r="BM224" s="13"/>
      <c r="BO224" s="9"/>
    </row>
    <row r="225" spans="1:65" s="9" customFormat="1" ht="11.25" hidden="1">
      <c r="A225" s="43"/>
      <c r="B225" s="9" t="s">
        <v>41</v>
      </c>
      <c r="C225" s="9" t="s">
        <v>71</v>
      </c>
      <c r="D225" s="17"/>
      <c r="E225" s="27"/>
      <c r="F225" s="27"/>
      <c r="G225" s="4"/>
      <c r="H225" s="34"/>
      <c r="I225" s="27"/>
      <c r="J225" s="27"/>
      <c r="K225" s="27"/>
      <c r="L225" s="27"/>
      <c r="M225" s="27"/>
      <c r="N225" s="27"/>
      <c r="O225" s="27"/>
      <c r="P225" s="27"/>
      <c r="Q225" s="4"/>
      <c r="R225" s="4"/>
      <c r="S225" s="4"/>
      <c r="T225" s="4"/>
      <c r="U225" s="4"/>
      <c r="V225" s="4"/>
      <c r="W225" s="27"/>
      <c r="X225" s="27"/>
      <c r="Y225" s="27"/>
      <c r="Z225" s="4"/>
      <c r="AA225" s="4"/>
      <c r="AB225" s="27"/>
      <c r="AC225" s="27"/>
      <c r="AD225" s="10"/>
      <c r="AE225" s="4"/>
      <c r="AF225" s="4"/>
      <c r="AG225" s="4"/>
      <c r="AH225" s="4"/>
      <c r="AI225" s="4"/>
      <c r="AJ225" s="4"/>
      <c r="AK225" s="4"/>
      <c r="AL225" s="4"/>
      <c r="AM225" s="4"/>
      <c r="AN225" s="17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27"/>
      <c r="BA225" s="4"/>
      <c r="BB225" s="4"/>
      <c r="BC225" s="4"/>
      <c r="BD225" s="4"/>
      <c r="BE225" s="4"/>
      <c r="BF225" s="27"/>
      <c r="BG225" s="27"/>
      <c r="BH225" s="4"/>
      <c r="BI225" s="4"/>
      <c r="BJ225" s="5">
        <f t="shared" si="8"/>
        <v>0</v>
      </c>
      <c r="BK225" s="42" t="s">
        <v>22</v>
      </c>
      <c r="BL225" s="42"/>
      <c r="BM225" s="51"/>
    </row>
    <row r="226" spans="1:67" s="9" customFormat="1" ht="11.25" hidden="1">
      <c r="A226" s="43"/>
      <c r="B226" s="9" t="s">
        <v>41</v>
      </c>
      <c r="C226" s="9" t="s">
        <v>71</v>
      </c>
      <c r="D226" s="17"/>
      <c r="E226" s="27"/>
      <c r="F226" s="27"/>
      <c r="G226" s="4"/>
      <c r="H226" s="34"/>
      <c r="I226" s="27"/>
      <c r="J226" s="27"/>
      <c r="K226" s="27"/>
      <c r="L226" s="27"/>
      <c r="M226" s="27"/>
      <c r="N226" s="27"/>
      <c r="O226" s="27"/>
      <c r="P226" s="27"/>
      <c r="Q226" s="4"/>
      <c r="R226" s="4"/>
      <c r="S226" s="4"/>
      <c r="T226" s="4"/>
      <c r="U226" s="4"/>
      <c r="V226" s="4"/>
      <c r="W226" s="27"/>
      <c r="X226" s="27"/>
      <c r="Y226" s="27"/>
      <c r="Z226" s="4"/>
      <c r="AA226" s="4"/>
      <c r="AB226" s="27"/>
      <c r="AC226" s="27"/>
      <c r="AD226" s="10"/>
      <c r="AE226" s="4"/>
      <c r="AF226" s="4"/>
      <c r="AG226" s="4"/>
      <c r="AH226" s="4"/>
      <c r="AI226" s="4"/>
      <c r="AJ226" s="4"/>
      <c r="AK226" s="4"/>
      <c r="AL226" s="4"/>
      <c r="AM226" s="4"/>
      <c r="AN226" s="17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27"/>
      <c r="BA226" s="4"/>
      <c r="BB226" s="4"/>
      <c r="BC226" s="4"/>
      <c r="BD226" s="4"/>
      <c r="BE226" s="4"/>
      <c r="BF226" s="27"/>
      <c r="BG226" s="27"/>
      <c r="BH226" s="4"/>
      <c r="BI226" s="4"/>
      <c r="BJ226" s="5">
        <f t="shared" si="8"/>
        <v>0</v>
      </c>
      <c r="BK226" s="42" t="s">
        <v>22</v>
      </c>
      <c r="BL226" s="42"/>
      <c r="BM226" s="51"/>
      <c r="BO226" s="8"/>
    </row>
    <row r="227" spans="1:67" s="8" customFormat="1" ht="11.25" hidden="1">
      <c r="A227" s="44"/>
      <c r="B227" s="9" t="s">
        <v>41</v>
      </c>
      <c r="C227" s="9" t="s">
        <v>71</v>
      </c>
      <c r="D227" s="21"/>
      <c r="E227" s="28"/>
      <c r="F227" s="28"/>
      <c r="G227" s="5"/>
      <c r="H227" s="34"/>
      <c r="I227" s="28"/>
      <c r="J227" s="28"/>
      <c r="K227" s="28"/>
      <c r="L227" s="28"/>
      <c r="M227" s="28"/>
      <c r="N227" s="28"/>
      <c r="O227" s="28"/>
      <c r="P227" s="28"/>
      <c r="Q227" s="5"/>
      <c r="R227" s="5"/>
      <c r="S227" s="5"/>
      <c r="T227" s="5"/>
      <c r="U227" s="5"/>
      <c r="V227" s="5"/>
      <c r="W227" s="28"/>
      <c r="X227" s="28"/>
      <c r="Y227" s="28"/>
      <c r="Z227" s="5"/>
      <c r="AA227" s="5"/>
      <c r="AB227" s="28"/>
      <c r="AC227" s="28"/>
      <c r="AD227" s="11"/>
      <c r="AE227" s="5"/>
      <c r="AF227" s="5"/>
      <c r="AG227" s="5"/>
      <c r="AH227" s="5"/>
      <c r="AI227" s="5"/>
      <c r="AJ227" s="5"/>
      <c r="AK227" s="5"/>
      <c r="AL227" s="5"/>
      <c r="AM227" s="5"/>
      <c r="AN227" s="17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28"/>
      <c r="BA227" s="5"/>
      <c r="BB227" s="5"/>
      <c r="BC227" s="5"/>
      <c r="BD227" s="5"/>
      <c r="BE227" s="5"/>
      <c r="BF227" s="28"/>
      <c r="BG227" s="28"/>
      <c r="BH227" s="5"/>
      <c r="BI227" s="5"/>
      <c r="BJ227" s="5">
        <f t="shared" si="8"/>
        <v>0</v>
      </c>
      <c r="BK227" s="42" t="s">
        <v>22</v>
      </c>
      <c r="BL227" s="42"/>
      <c r="BM227" s="13"/>
      <c r="BO227" s="9"/>
    </row>
    <row r="228" spans="1:67" s="9" customFormat="1" ht="11.25" hidden="1">
      <c r="A228" s="43"/>
      <c r="B228" s="9" t="s">
        <v>41</v>
      </c>
      <c r="C228" s="9" t="s">
        <v>71</v>
      </c>
      <c r="D228" s="21"/>
      <c r="E228" s="27"/>
      <c r="F228" s="27"/>
      <c r="G228" s="4"/>
      <c r="H228" s="34"/>
      <c r="I228" s="27"/>
      <c r="J228" s="27"/>
      <c r="K228" s="27"/>
      <c r="L228" s="27"/>
      <c r="M228" s="27"/>
      <c r="N228" s="27"/>
      <c r="O228" s="27"/>
      <c r="P228" s="27"/>
      <c r="Q228" s="4"/>
      <c r="R228" s="4"/>
      <c r="S228" s="4"/>
      <c r="T228" s="4"/>
      <c r="U228" s="4"/>
      <c r="V228" s="4"/>
      <c r="W228" s="27"/>
      <c r="X228" s="27"/>
      <c r="Y228" s="27"/>
      <c r="Z228" s="4"/>
      <c r="AA228" s="4"/>
      <c r="AB228" s="27"/>
      <c r="AC228" s="27"/>
      <c r="AD228" s="10"/>
      <c r="AE228" s="4"/>
      <c r="AF228" s="4"/>
      <c r="AG228" s="4"/>
      <c r="AH228" s="4"/>
      <c r="AI228" s="4"/>
      <c r="AJ228" s="4"/>
      <c r="AK228" s="4"/>
      <c r="AL228" s="4"/>
      <c r="AM228" s="4"/>
      <c r="AN228" s="17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27"/>
      <c r="BA228" s="4"/>
      <c r="BB228" s="4"/>
      <c r="BC228" s="4"/>
      <c r="BD228" s="4"/>
      <c r="BE228" s="4"/>
      <c r="BF228" s="27"/>
      <c r="BG228" s="27"/>
      <c r="BH228" s="4"/>
      <c r="BI228" s="4"/>
      <c r="BJ228" s="5">
        <f t="shared" si="8"/>
        <v>0</v>
      </c>
      <c r="BK228" s="42" t="s">
        <v>22</v>
      </c>
      <c r="BL228" s="42"/>
      <c r="BM228" s="51"/>
      <c r="BO228" s="8"/>
    </row>
    <row r="229" spans="1:65" s="8" customFormat="1" ht="11.25" hidden="1">
      <c r="A229" s="44"/>
      <c r="B229" s="9" t="s">
        <v>41</v>
      </c>
      <c r="C229" s="9" t="s">
        <v>71</v>
      </c>
      <c r="D229" s="21"/>
      <c r="E229" s="28"/>
      <c r="F229" s="28"/>
      <c r="G229" s="5"/>
      <c r="H229" s="34"/>
      <c r="I229" s="28"/>
      <c r="J229" s="28"/>
      <c r="K229" s="28"/>
      <c r="L229" s="28"/>
      <c r="M229" s="28"/>
      <c r="N229" s="28"/>
      <c r="O229" s="28"/>
      <c r="P229" s="28"/>
      <c r="Q229" s="5"/>
      <c r="R229" s="5"/>
      <c r="S229" s="5"/>
      <c r="T229" s="5"/>
      <c r="U229" s="5"/>
      <c r="V229" s="5"/>
      <c r="W229" s="28"/>
      <c r="X229" s="28"/>
      <c r="Y229" s="28"/>
      <c r="Z229" s="5"/>
      <c r="AA229" s="5"/>
      <c r="AB229" s="28"/>
      <c r="AC229" s="28"/>
      <c r="AD229" s="11"/>
      <c r="AE229" s="5"/>
      <c r="AF229" s="5"/>
      <c r="AG229" s="5"/>
      <c r="AH229" s="5"/>
      <c r="AI229" s="5"/>
      <c r="AJ229" s="5"/>
      <c r="AK229" s="5"/>
      <c r="AL229" s="5"/>
      <c r="AM229" s="5"/>
      <c r="AN229" s="17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28"/>
      <c r="BA229" s="5"/>
      <c r="BB229" s="5"/>
      <c r="BC229" s="5"/>
      <c r="BD229" s="5"/>
      <c r="BE229" s="5"/>
      <c r="BF229" s="28"/>
      <c r="BG229" s="28"/>
      <c r="BH229" s="5"/>
      <c r="BI229" s="5"/>
      <c r="BJ229" s="5">
        <f t="shared" si="8"/>
        <v>0</v>
      </c>
      <c r="BK229" s="42" t="s">
        <v>22</v>
      </c>
      <c r="BL229" s="42"/>
      <c r="BM229" s="13"/>
    </row>
    <row r="230" spans="1:65" s="8" customFormat="1" ht="11.25" hidden="1">
      <c r="A230" s="44"/>
      <c r="B230" s="9" t="s">
        <v>41</v>
      </c>
      <c r="C230" s="9" t="s">
        <v>71</v>
      </c>
      <c r="D230" s="21"/>
      <c r="E230" s="28"/>
      <c r="F230" s="28"/>
      <c r="G230" s="5"/>
      <c r="H230" s="34"/>
      <c r="I230" s="28"/>
      <c r="J230" s="28"/>
      <c r="K230" s="28"/>
      <c r="L230" s="28"/>
      <c r="M230" s="28"/>
      <c r="N230" s="28"/>
      <c r="O230" s="28"/>
      <c r="P230" s="28"/>
      <c r="Q230" s="5"/>
      <c r="R230" s="5"/>
      <c r="S230" s="5"/>
      <c r="T230" s="5"/>
      <c r="U230" s="5"/>
      <c r="V230" s="5"/>
      <c r="W230" s="28"/>
      <c r="X230" s="28"/>
      <c r="Y230" s="28"/>
      <c r="Z230" s="5"/>
      <c r="AA230" s="5"/>
      <c r="AB230" s="28"/>
      <c r="AC230" s="28"/>
      <c r="AD230" s="11"/>
      <c r="AE230" s="5"/>
      <c r="AF230" s="5"/>
      <c r="AG230" s="5"/>
      <c r="AH230" s="5"/>
      <c r="AI230" s="5"/>
      <c r="AJ230" s="5"/>
      <c r="AK230" s="5"/>
      <c r="AL230" s="5"/>
      <c r="AM230" s="5"/>
      <c r="AN230" s="17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28"/>
      <c r="BA230" s="5"/>
      <c r="BB230" s="5"/>
      <c r="BC230" s="5"/>
      <c r="BD230" s="5"/>
      <c r="BE230" s="5"/>
      <c r="BF230" s="28"/>
      <c r="BG230" s="28"/>
      <c r="BH230" s="5"/>
      <c r="BI230" s="5"/>
      <c r="BJ230" s="5">
        <f t="shared" si="8"/>
        <v>0</v>
      </c>
      <c r="BK230" s="42" t="s">
        <v>22</v>
      </c>
      <c r="BL230" s="42"/>
      <c r="BM230" s="13"/>
    </row>
    <row r="231" spans="1:65" s="8" customFormat="1" ht="11.25" hidden="1">
      <c r="A231" s="44"/>
      <c r="B231" s="9" t="s">
        <v>41</v>
      </c>
      <c r="C231" s="9" t="s">
        <v>71</v>
      </c>
      <c r="D231" s="21"/>
      <c r="E231" s="28"/>
      <c r="F231" s="28"/>
      <c r="G231" s="5"/>
      <c r="H231" s="34"/>
      <c r="I231" s="28"/>
      <c r="J231" s="28"/>
      <c r="K231" s="28"/>
      <c r="L231" s="28"/>
      <c r="M231" s="28"/>
      <c r="N231" s="28"/>
      <c r="O231" s="28"/>
      <c r="P231" s="28"/>
      <c r="Q231" s="5"/>
      <c r="R231" s="5"/>
      <c r="S231" s="5"/>
      <c r="T231" s="5"/>
      <c r="U231" s="5"/>
      <c r="V231" s="5"/>
      <c r="W231" s="28"/>
      <c r="X231" s="28"/>
      <c r="Y231" s="28"/>
      <c r="Z231" s="5"/>
      <c r="AA231" s="5"/>
      <c r="AB231" s="28"/>
      <c r="AC231" s="28"/>
      <c r="AD231" s="11"/>
      <c r="AE231" s="5"/>
      <c r="AF231" s="5"/>
      <c r="AG231" s="5"/>
      <c r="AH231" s="5"/>
      <c r="AI231" s="5"/>
      <c r="AJ231" s="5"/>
      <c r="AK231" s="5"/>
      <c r="AL231" s="5"/>
      <c r="AM231" s="5"/>
      <c r="AN231" s="17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28"/>
      <c r="BA231" s="5"/>
      <c r="BB231" s="5"/>
      <c r="BC231" s="5"/>
      <c r="BD231" s="5"/>
      <c r="BE231" s="5"/>
      <c r="BF231" s="28"/>
      <c r="BG231" s="28"/>
      <c r="BH231" s="5"/>
      <c r="BI231" s="5"/>
      <c r="BJ231" s="5">
        <f t="shared" si="8"/>
        <v>0</v>
      </c>
      <c r="BK231" s="42" t="s">
        <v>22</v>
      </c>
      <c r="BL231" s="42"/>
      <c r="BM231" s="13"/>
    </row>
    <row r="232" spans="1:65" s="8" customFormat="1" ht="11.25" hidden="1">
      <c r="A232" s="44"/>
      <c r="B232" s="9" t="s">
        <v>41</v>
      </c>
      <c r="C232" s="9" t="s">
        <v>71</v>
      </c>
      <c r="D232" s="21"/>
      <c r="E232" s="28"/>
      <c r="F232" s="28"/>
      <c r="G232" s="5"/>
      <c r="H232" s="34"/>
      <c r="I232" s="28"/>
      <c r="J232" s="28"/>
      <c r="K232" s="28"/>
      <c r="L232" s="28"/>
      <c r="M232" s="28"/>
      <c r="N232" s="28"/>
      <c r="O232" s="28"/>
      <c r="P232" s="28"/>
      <c r="Q232" s="5"/>
      <c r="R232" s="5"/>
      <c r="S232" s="5"/>
      <c r="T232" s="5"/>
      <c r="U232" s="5"/>
      <c r="V232" s="5"/>
      <c r="W232" s="28"/>
      <c r="X232" s="28"/>
      <c r="Y232" s="28"/>
      <c r="Z232" s="5"/>
      <c r="AA232" s="5"/>
      <c r="AB232" s="28"/>
      <c r="AC232" s="28"/>
      <c r="AD232" s="11"/>
      <c r="AE232" s="5"/>
      <c r="AF232" s="5"/>
      <c r="AG232" s="5"/>
      <c r="AH232" s="5"/>
      <c r="AI232" s="5"/>
      <c r="AJ232" s="5"/>
      <c r="AK232" s="5"/>
      <c r="AL232" s="5"/>
      <c r="AM232" s="5"/>
      <c r="AN232" s="17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28"/>
      <c r="BA232" s="5"/>
      <c r="BB232" s="5"/>
      <c r="BC232" s="5"/>
      <c r="BD232" s="5"/>
      <c r="BE232" s="5"/>
      <c r="BF232" s="28"/>
      <c r="BG232" s="28"/>
      <c r="BH232" s="5"/>
      <c r="BI232" s="5"/>
      <c r="BJ232" s="5">
        <f t="shared" si="8"/>
        <v>0</v>
      </c>
      <c r="BK232" s="42" t="s">
        <v>22</v>
      </c>
      <c r="BL232" s="42"/>
      <c r="BM232" s="13"/>
    </row>
    <row r="233" spans="1:65" s="8" customFormat="1" ht="11.25" hidden="1">
      <c r="A233" s="44"/>
      <c r="B233" s="9" t="s">
        <v>41</v>
      </c>
      <c r="C233" s="9" t="s">
        <v>71</v>
      </c>
      <c r="D233" s="21"/>
      <c r="E233" s="28"/>
      <c r="F233" s="28"/>
      <c r="G233" s="5"/>
      <c r="H233" s="34"/>
      <c r="I233" s="28"/>
      <c r="J233" s="28"/>
      <c r="K233" s="28"/>
      <c r="L233" s="28"/>
      <c r="M233" s="28"/>
      <c r="N233" s="28"/>
      <c r="O233" s="28"/>
      <c r="P233" s="28"/>
      <c r="Q233" s="5"/>
      <c r="R233" s="5"/>
      <c r="S233" s="5"/>
      <c r="T233" s="5"/>
      <c r="U233" s="5"/>
      <c r="V233" s="5"/>
      <c r="W233" s="28"/>
      <c r="X233" s="28"/>
      <c r="Y233" s="28"/>
      <c r="Z233" s="5"/>
      <c r="AA233" s="5"/>
      <c r="AB233" s="28"/>
      <c r="AC233" s="28"/>
      <c r="AD233" s="11"/>
      <c r="AE233" s="5"/>
      <c r="AF233" s="5"/>
      <c r="AG233" s="5"/>
      <c r="AH233" s="5"/>
      <c r="AI233" s="5"/>
      <c r="AJ233" s="5"/>
      <c r="AK233" s="5"/>
      <c r="AL233" s="5"/>
      <c r="AM233" s="5"/>
      <c r="AN233" s="17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28"/>
      <c r="BA233" s="5"/>
      <c r="BB233" s="5"/>
      <c r="BC233" s="5"/>
      <c r="BD233" s="5"/>
      <c r="BE233" s="5"/>
      <c r="BF233" s="28"/>
      <c r="BG233" s="28"/>
      <c r="BH233" s="5"/>
      <c r="BI233" s="5"/>
      <c r="BJ233" s="5">
        <f t="shared" si="8"/>
        <v>0</v>
      </c>
      <c r="BK233" s="42" t="s">
        <v>22</v>
      </c>
      <c r="BL233" s="42"/>
      <c r="BM233" s="13"/>
    </row>
    <row r="234" spans="1:65" s="8" customFormat="1" ht="11.25" hidden="1">
      <c r="A234" s="44"/>
      <c r="B234" s="9" t="s">
        <v>41</v>
      </c>
      <c r="C234" s="9" t="s">
        <v>71</v>
      </c>
      <c r="D234" s="21"/>
      <c r="E234" s="28"/>
      <c r="F234" s="28"/>
      <c r="G234" s="5"/>
      <c r="H234" s="34"/>
      <c r="I234" s="28"/>
      <c r="J234" s="28"/>
      <c r="K234" s="28"/>
      <c r="L234" s="28"/>
      <c r="M234" s="28"/>
      <c r="N234" s="28"/>
      <c r="O234" s="28"/>
      <c r="P234" s="28"/>
      <c r="Q234" s="5"/>
      <c r="R234" s="5"/>
      <c r="S234" s="5"/>
      <c r="T234" s="5"/>
      <c r="U234" s="5"/>
      <c r="V234" s="5"/>
      <c r="W234" s="28"/>
      <c r="X234" s="28"/>
      <c r="Y234" s="28"/>
      <c r="Z234" s="5"/>
      <c r="AA234" s="5"/>
      <c r="AB234" s="28"/>
      <c r="AC234" s="28"/>
      <c r="AD234" s="11"/>
      <c r="AE234" s="5"/>
      <c r="AF234" s="5"/>
      <c r="AG234" s="5"/>
      <c r="AH234" s="5"/>
      <c r="AI234" s="5"/>
      <c r="AJ234" s="5"/>
      <c r="AK234" s="5"/>
      <c r="AL234" s="5"/>
      <c r="AM234" s="5"/>
      <c r="AN234" s="17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28"/>
      <c r="BA234" s="5"/>
      <c r="BB234" s="5"/>
      <c r="BC234" s="5"/>
      <c r="BD234" s="5"/>
      <c r="BE234" s="5"/>
      <c r="BF234" s="28"/>
      <c r="BG234" s="28"/>
      <c r="BH234" s="5"/>
      <c r="BI234" s="5"/>
      <c r="BJ234" s="5">
        <f t="shared" si="8"/>
        <v>0</v>
      </c>
      <c r="BK234" s="42" t="s">
        <v>22</v>
      </c>
      <c r="BL234" s="42"/>
      <c r="BM234" s="13"/>
    </row>
    <row r="235" spans="1:67" s="8" customFormat="1" ht="11.25" hidden="1">
      <c r="A235" s="44"/>
      <c r="B235" s="9" t="s">
        <v>41</v>
      </c>
      <c r="C235" s="9" t="s">
        <v>71</v>
      </c>
      <c r="D235" s="21"/>
      <c r="E235" s="28"/>
      <c r="F235" s="28"/>
      <c r="G235" s="5"/>
      <c r="H235" s="34"/>
      <c r="I235" s="28"/>
      <c r="J235" s="28"/>
      <c r="K235" s="28"/>
      <c r="L235" s="28"/>
      <c r="M235" s="28"/>
      <c r="N235" s="28"/>
      <c r="O235" s="28"/>
      <c r="P235" s="28"/>
      <c r="Q235" s="5"/>
      <c r="R235" s="5"/>
      <c r="S235" s="5"/>
      <c r="T235" s="5"/>
      <c r="U235" s="5"/>
      <c r="V235" s="5"/>
      <c r="W235" s="28"/>
      <c r="X235" s="28"/>
      <c r="Y235" s="28"/>
      <c r="Z235" s="5"/>
      <c r="AA235" s="5"/>
      <c r="AB235" s="28"/>
      <c r="AC235" s="28"/>
      <c r="AD235" s="11"/>
      <c r="AE235" s="5"/>
      <c r="AF235" s="5"/>
      <c r="AG235" s="5"/>
      <c r="AH235" s="5"/>
      <c r="AI235" s="5"/>
      <c r="AJ235" s="5"/>
      <c r="AK235" s="5"/>
      <c r="AL235" s="5"/>
      <c r="AM235" s="5"/>
      <c r="AN235" s="17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28"/>
      <c r="BA235" s="5"/>
      <c r="BB235" s="5"/>
      <c r="BC235" s="5"/>
      <c r="BD235" s="5"/>
      <c r="BE235" s="5"/>
      <c r="BF235" s="28"/>
      <c r="BG235" s="28"/>
      <c r="BH235" s="5"/>
      <c r="BI235" s="5"/>
      <c r="BJ235" s="5">
        <f t="shared" si="8"/>
        <v>0</v>
      </c>
      <c r="BK235" s="42" t="s">
        <v>22</v>
      </c>
      <c r="BL235" s="42"/>
      <c r="BM235" s="13"/>
      <c r="BO235" s="9"/>
    </row>
    <row r="236" spans="1:65" s="9" customFormat="1" ht="11.25" hidden="1">
      <c r="A236" s="43"/>
      <c r="B236" s="9" t="s">
        <v>41</v>
      </c>
      <c r="C236" s="9" t="s">
        <v>71</v>
      </c>
      <c r="D236" s="21"/>
      <c r="E236" s="27"/>
      <c r="F236" s="27"/>
      <c r="G236" s="4"/>
      <c r="H236" s="34"/>
      <c r="I236" s="27"/>
      <c r="J236" s="27"/>
      <c r="K236" s="27"/>
      <c r="L236" s="27"/>
      <c r="M236" s="27"/>
      <c r="N236" s="27"/>
      <c r="O236" s="27"/>
      <c r="P236" s="27"/>
      <c r="Q236" s="4"/>
      <c r="R236" s="4"/>
      <c r="S236" s="4"/>
      <c r="T236" s="4"/>
      <c r="U236" s="4"/>
      <c r="V236" s="4"/>
      <c r="W236" s="27"/>
      <c r="X236" s="27"/>
      <c r="Y236" s="27"/>
      <c r="Z236" s="4"/>
      <c r="AA236" s="4"/>
      <c r="AB236" s="27"/>
      <c r="AC236" s="27"/>
      <c r="AD236" s="10"/>
      <c r="AE236" s="4"/>
      <c r="AF236" s="4"/>
      <c r="AG236" s="4"/>
      <c r="AH236" s="4"/>
      <c r="AI236" s="4"/>
      <c r="AJ236" s="4"/>
      <c r="AK236" s="4"/>
      <c r="AL236" s="4"/>
      <c r="AM236" s="4"/>
      <c r="AN236" s="17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27"/>
      <c r="BA236" s="4"/>
      <c r="BB236" s="4"/>
      <c r="BC236" s="4"/>
      <c r="BD236" s="4"/>
      <c r="BE236" s="4"/>
      <c r="BF236" s="27"/>
      <c r="BG236" s="27"/>
      <c r="BH236" s="4"/>
      <c r="BI236" s="4"/>
      <c r="BJ236" s="5">
        <f t="shared" si="8"/>
        <v>0</v>
      </c>
      <c r="BK236" s="42" t="s">
        <v>22</v>
      </c>
      <c r="BL236" s="42"/>
      <c r="BM236" s="51"/>
    </row>
    <row r="237" spans="1:65" s="9" customFormat="1" ht="11.25" hidden="1">
      <c r="A237" s="43"/>
      <c r="B237" s="9" t="s">
        <v>41</v>
      </c>
      <c r="C237" s="9" t="s">
        <v>71</v>
      </c>
      <c r="D237" s="17"/>
      <c r="E237" s="27"/>
      <c r="F237" s="27"/>
      <c r="G237" s="4"/>
      <c r="H237" s="34"/>
      <c r="I237" s="27"/>
      <c r="J237" s="27"/>
      <c r="K237" s="27"/>
      <c r="L237" s="27"/>
      <c r="M237" s="27"/>
      <c r="N237" s="27"/>
      <c r="O237" s="27"/>
      <c r="P237" s="27"/>
      <c r="Q237" s="4"/>
      <c r="R237" s="4"/>
      <c r="S237" s="4"/>
      <c r="T237" s="4"/>
      <c r="U237" s="4"/>
      <c r="V237" s="4"/>
      <c r="W237" s="27"/>
      <c r="X237" s="27"/>
      <c r="Y237" s="27"/>
      <c r="Z237" s="4"/>
      <c r="AA237" s="4"/>
      <c r="AB237" s="27"/>
      <c r="AC237" s="27"/>
      <c r="AD237" s="10"/>
      <c r="AE237" s="4"/>
      <c r="AF237" s="4"/>
      <c r="AG237" s="4"/>
      <c r="AH237" s="4"/>
      <c r="AI237" s="4"/>
      <c r="AJ237" s="4"/>
      <c r="AK237" s="4"/>
      <c r="AL237" s="4"/>
      <c r="AM237" s="4"/>
      <c r="AN237" s="17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27"/>
      <c r="BA237" s="4"/>
      <c r="BB237" s="4"/>
      <c r="BC237" s="4"/>
      <c r="BD237" s="4"/>
      <c r="BE237" s="4"/>
      <c r="BF237" s="27"/>
      <c r="BG237" s="27"/>
      <c r="BH237" s="4"/>
      <c r="BI237" s="4"/>
      <c r="BJ237" s="5">
        <f t="shared" si="8"/>
        <v>0</v>
      </c>
      <c r="BK237" s="42" t="s">
        <v>22</v>
      </c>
      <c r="BL237" s="42"/>
      <c r="BM237" s="51"/>
    </row>
    <row r="238" spans="1:67" s="9" customFormat="1" ht="11.25" hidden="1">
      <c r="A238" s="43"/>
      <c r="B238" s="9" t="s">
        <v>41</v>
      </c>
      <c r="C238" s="9" t="s">
        <v>71</v>
      </c>
      <c r="D238" s="17"/>
      <c r="E238" s="27"/>
      <c r="F238" s="27"/>
      <c r="G238" s="4"/>
      <c r="H238" s="34"/>
      <c r="I238" s="27"/>
      <c r="J238" s="27"/>
      <c r="K238" s="27"/>
      <c r="L238" s="27"/>
      <c r="M238" s="27"/>
      <c r="N238" s="27"/>
      <c r="O238" s="27"/>
      <c r="P238" s="27"/>
      <c r="Q238" s="4"/>
      <c r="R238" s="4"/>
      <c r="S238" s="4"/>
      <c r="T238" s="4"/>
      <c r="U238" s="4"/>
      <c r="V238" s="4"/>
      <c r="W238" s="27"/>
      <c r="X238" s="27"/>
      <c r="Y238" s="27"/>
      <c r="Z238" s="4"/>
      <c r="AA238" s="4"/>
      <c r="AB238" s="27"/>
      <c r="AC238" s="27"/>
      <c r="AD238" s="10"/>
      <c r="AE238" s="4"/>
      <c r="AF238" s="4"/>
      <c r="AG238" s="4"/>
      <c r="AH238" s="4"/>
      <c r="AI238" s="4"/>
      <c r="AJ238" s="4"/>
      <c r="AK238" s="4"/>
      <c r="AL238" s="4"/>
      <c r="AM238" s="4"/>
      <c r="AN238" s="17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27"/>
      <c r="BA238" s="4"/>
      <c r="BB238" s="4"/>
      <c r="BC238" s="4"/>
      <c r="BD238" s="4"/>
      <c r="BE238" s="4"/>
      <c r="BF238" s="27"/>
      <c r="BG238" s="27"/>
      <c r="BH238" s="4"/>
      <c r="BI238" s="4"/>
      <c r="BJ238" s="5">
        <f t="shared" si="8"/>
        <v>0</v>
      </c>
      <c r="BK238" s="42" t="s">
        <v>22</v>
      </c>
      <c r="BL238" s="42"/>
      <c r="BM238" s="51"/>
      <c r="BO238" s="8"/>
    </row>
    <row r="239" spans="1:65" s="8" customFormat="1" ht="11.25" hidden="1">
      <c r="A239" s="44"/>
      <c r="B239" s="9" t="s">
        <v>41</v>
      </c>
      <c r="C239" s="9" t="s">
        <v>71</v>
      </c>
      <c r="D239" s="21"/>
      <c r="E239" s="28"/>
      <c r="F239" s="28"/>
      <c r="G239" s="5"/>
      <c r="H239" s="34"/>
      <c r="I239" s="28"/>
      <c r="J239" s="28"/>
      <c r="K239" s="28"/>
      <c r="L239" s="28"/>
      <c r="M239" s="28"/>
      <c r="N239" s="28"/>
      <c r="O239" s="28"/>
      <c r="P239" s="28"/>
      <c r="Q239" s="5"/>
      <c r="R239" s="5"/>
      <c r="S239" s="5"/>
      <c r="T239" s="5"/>
      <c r="U239" s="5"/>
      <c r="V239" s="5"/>
      <c r="W239" s="28"/>
      <c r="X239" s="28"/>
      <c r="Y239" s="28"/>
      <c r="Z239" s="5"/>
      <c r="AA239" s="5"/>
      <c r="AB239" s="28"/>
      <c r="AC239" s="28"/>
      <c r="AD239" s="11"/>
      <c r="AE239" s="5"/>
      <c r="AF239" s="5"/>
      <c r="AG239" s="5"/>
      <c r="AH239" s="5"/>
      <c r="AI239" s="5"/>
      <c r="AJ239" s="5"/>
      <c r="AK239" s="5"/>
      <c r="AL239" s="5"/>
      <c r="AM239" s="5"/>
      <c r="AN239" s="17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28"/>
      <c r="BA239" s="5"/>
      <c r="BB239" s="5"/>
      <c r="BC239" s="5"/>
      <c r="BD239" s="5"/>
      <c r="BE239" s="5"/>
      <c r="BF239" s="28"/>
      <c r="BG239" s="28"/>
      <c r="BH239" s="5"/>
      <c r="BI239" s="5"/>
      <c r="BJ239" s="5">
        <f t="shared" si="8"/>
        <v>0</v>
      </c>
      <c r="BK239" s="42" t="s">
        <v>22</v>
      </c>
      <c r="BL239" s="42"/>
      <c r="BM239" s="13"/>
    </row>
    <row r="240" spans="1:65" s="8" customFormat="1" ht="11.25" hidden="1">
      <c r="A240" s="44"/>
      <c r="B240" s="9" t="s">
        <v>41</v>
      </c>
      <c r="C240" s="9" t="s">
        <v>71</v>
      </c>
      <c r="D240" s="21"/>
      <c r="E240" s="28"/>
      <c r="F240" s="28"/>
      <c r="G240" s="5"/>
      <c r="H240" s="34"/>
      <c r="I240" s="28"/>
      <c r="J240" s="28"/>
      <c r="K240" s="28"/>
      <c r="L240" s="28"/>
      <c r="M240" s="28"/>
      <c r="N240" s="28"/>
      <c r="O240" s="28"/>
      <c r="P240" s="28"/>
      <c r="Q240" s="5"/>
      <c r="R240" s="5"/>
      <c r="S240" s="5"/>
      <c r="T240" s="5"/>
      <c r="U240" s="5"/>
      <c r="V240" s="5"/>
      <c r="W240" s="28"/>
      <c r="X240" s="28"/>
      <c r="Y240" s="28"/>
      <c r="Z240" s="5"/>
      <c r="AA240" s="5"/>
      <c r="AB240" s="28"/>
      <c r="AC240" s="28"/>
      <c r="AD240" s="11"/>
      <c r="AE240" s="5"/>
      <c r="AF240" s="5"/>
      <c r="AG240" s="5"/>
      <c r="AH240" s="5"/>
      <c r="AI240" s="5"/>
      <c r="AJ240" s="5"/>
      <c r="AK240" s="5"/>
      <c r="AL240" s="5"/>
      <c r="AM240" s="5"/>
      <c r="AN240" s="17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28"/>
      <c r="BA240" s="5"/>
      <c r="BB240" s="5"/>
      <c r="BC240" s="5"/>
      <c r="BD240" s="5"/>
      <c r="BE240" s="5"/>
      <c r="BF240" s="28"/>
      <c r="BG240" s="28"/>
      <c r="BH240" s="5"/>
      <c r="BI240" s="5"/>
      <c r="BJ240" s="5">
        <f t="shared" si="8"/>
        <v>0</v>
      </c>
      <c r="BK240" s="42" t="s">
        <v>22</v>
      </c>
      <c r="BL240" s="42"/>
      <c r="BM240" s="13"/>
    </row>
    <row r="241" spans="1:65" s="8" customFormat="1" ht="11.25" hidden="1">
      <c r="A241" s="44"/>
      <c r="B241" s="9" t="s">
        <v>42</v>
      </c>
      <c r="C241" s="9" t="str">
        <f>"A/4"</f>
        <v>A/4</v>
      </c>
      <c r="D241" s="21" t="s">
        <v>22</v>
      </c>
      <c r="E241" s="28"/>
      <c r="F241" s="28"/>
      <c r="G241" s="5"/>
      <c r="H241" s="34"/>
      <c r="I241" s="28"/>
      <c r="J241" s="28"/>
      <c r="K241" s="28"/>
      <c r="L241" s="28"/>
      <c r="M241" s="28"/>
      <c r="N241" s="28"/>
      <c r="O241" s="28"/>
      <c r="P241" s="28"/>
      <c r="Q241" s="5"/>
      <c r="R241" s="5"/>
      <c r="S241" s="5"/>
      <c r="T241" s="5"/>
      <c r="U241" s="5"/>
      <c r="V241" s="5"/>
      <c r="W241" s="28"/>
      <c r="X241" s="28"/>
      <c r="Y241" s="28"/>
      <c r="Z241" s="5"/>
      <c r="AA241" s="5"/>
      <c r="AB241" s="28"/>
      <c r="AC241" s="28"/>
      <c r="AD241" s="11"/>
      <c r="AE241" s="5"/>
      <c r="AF241" s="5"/>
      <c r="AG241" s="5"/>
      <c r="AH241" s="5"/>
      <c r="AI241" s="5"/>
      <c r="AJ241" s="5"/>
      <c r="AK241" s="5"/>
      <c r="AL241" s="5"/>
      <c r="AM241" s="5"/>
      <c r="AN241" s="17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28"/>
      <c r="BA241" s="5"/>
      <c r="BB241" s="5"/>
      <c r="BC241" s="5"/>
      <c r="BD241" s="5"/>
      <c r="BE241" s="5"/>
      <c r="BF241" s="28"/>
      <c r="BG241" s="28"/>
      <c r="BH241" s="5"/>
      <c r="BI241" s="5"/>
      <c r="BJ241" s="5">
        <f aca="true" t="shared" si="9" ref="BJ241:BJ300">SUM(E241:BI241)</f>
        <v>0</v>
      </c>
      <c r="BK241" s="42" t="s">
        <v>22</v>
      </c>
      <c r="BL241" s="42"/>
      <c r="BM241" s="13"/>
    </row>
    <row r="242" spans="1:65" s="8" customFormat="1" ht="11.25">
      <c r="A242" s="44" t="s">
        <v>250</v>
      </c>
      <c r="B242" s="9" t="str">
        <f>"IRATRENDEZŐ (TOKOS) SZÍNES"</f>
        <v>IRATRENDEZŐ (TOKOS) SZÍNES</v>
      </c>
      <c r="C242" s="9" t="str">
        <f>"A/4"</f>
        <v>A/4</v>
      </c>
      <c r="D242" s="21" t="s">
        <v>22</v>
      </c>
      <c r="E242" s="28"/>
      <c r="F242" s="28"/>
      <c r="G242" s="5"/>
      <c r="H242" s="34"/>
      <c r="I242" s="28"/>
      <c r="J242" s="28"/>
      <c r="K242" s="28"/>
      <c r="L242" s="28"/>
      <c r="M242" s="28"/>
      <c r="N242" s="28"/>
      <c r="O242" s="28"/>
      <c r="P242" s="28"/>
      <c r="Q242" s="5"/>
      <c r="R242" s="5"/>
      <c r="S242" s="5"/>
      <c r="T242" s="5"/>
      <c r="U242" s="5"/>
      <c r="V242" s="5"/>
      <c r="W242" s="28"/>
      <c r="X242" s="28"/>
      <c r="Y242" s="28"/>
      <c r="Z242" s="5"/>
      <c r="AA242" s="5"/>
      <c r="AB242" s="28"/>
      <c r="AC242" s="28"/>
      <c r="AD242" s="11"/>
      <c r="AE242" s="5"/>
      <c r="AF242" s="5"/>
      <c r="AG242" s="5"/>
      <c r="AH242" s="5"/>
      <c r="AI242" s="5"/>
      <c r="AJ242" s="5"/>
      <c r="AK242" s="5"/>
      <c r="AL242" s="5"/>
      <c r="AM242" s="5"/>
      <c r="AN242" s="17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28"/>
      <c r="BA242" s="5"/>
      <c r="BB242" s="5"/>
      <c r="BC242" s="5">
        <v>15</v>
      </c>
      <c r="BD242" s="5"/>
      <c r="BE242" s="5"/>
      <c r="BF242" s="28"/>
      <c r="BG242" s="28"/>
      <c r="BH242" s="5"/>
      <c r="BI242" s="5"/>
      <c r="BJ242" s="5">
        <f t="shared" si="9"/>
        <v>15</v>
      </c>
      <c r="BK242" s="42" t="s">
        <v>22</v>
      </c>
      <c r="BL242" s="42"/>
      <c r="BM242" s="13"/>
    </row>
    <row r="243" spans="1:65" s="8" customFormat="1" ht="11.25" hidden="1">
      <c r="A243" s="44"/>
      <c r="B243" s="9" t="str">
        <f>"RAGASZTÓ SZALAG TÜKÖRHÖZ"</f>
        <v>RAGASZTÓ SZALAG TÜKÖRHÖZ</v>
      </c>
      <c r="C243" s="9"/>
      <c r="D243" s="21"/>
      <c r="E243" s="28"/>
      <c r="F243" s="28"/>
      <c r="G243" s="5"/>
      <c r="H243" s="34"/>
      <c r="I243" s="28"/>
      <c r="J243" s="28"/>
      <c r="K243" s="28"/>
      <c r="L243" s="28"/>
      <c r="M243" s="28"/>
      <c r="N243" s="28"/>
      <c r="O243" s="28"/>
      <c r="P243" s="28"/>
      <c r="Q243" s="5"/>
      <c r="R243" s="5"/>
      <c r="S243" s="5"/>
      <c r="T243" s="5"/>
      <c r="U243" s="5"/>
      <c r="V243" s="5"/>
      <c r="W243" s="28"/>
      <c r="X243" s="28"/>
      <c r="Y243" s="28"/>
      <c r="Z243" s="5"/>
      <c r="AA243" s="5"/>
      <c r="AB243" s="28"/>
      <c r="AC243" s="28"/>
      <c r="AD243" s="11"/>
      <c r="AE243" s="5"/>
      <c r="AF243" s="5"/>
      <c r="AG243" s="5"/>
      <c r="AH243" s="5"/>
      <c r="AI243" s="5"/>
      <c r="AJ243" s="5"/>
      <c r="AK243" s="5"/>
      <c r="AL243" s="5"/>
      <c r="AM243" s="5"/>
      <c r="AN243" s="17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28"/>
      <c r="BA243" s="5"/>
      <c r="BB243" s="5"/>
      <c r="BC243" s="5"/>
      <c r="BD243" s="5"/>
      <c r="BE243" s="5"/>
      <c r="BF243" s="28"/>
      <c r="BG243" s="28"/>
      <c r="BH243" s="5"/>
      <c r="BI243" s="5"/>
      <c r="BJ243" s="5">
        <f t="shared" si="9"/>
        <v>0</v>
      </c>
      <c r="BK243" s="42"/>
      <c r="BL243" s="42"/>
      <c r="BM243" s="13"/>
    </row>
    <row r="244" spans="1:65" s="8" customFormat="1" ht="11.25">
      <c r="A244" s="44" t="s">
        <v>251</v>
      </c>
      <c r="B244" s="9" t="s">
        <v>154</v>
      </c>
      <c r="C244" s="9" t="s">
        <v>111</v>
      </c>
      <c r="D244" s="21" t="s">
        <v>22</v>
      </c>
      <c r="E244" s="27"/>
      <c r="F244" s="27">
        <v>2</v>
      </c>
      <c r="G244" s="4">
        <v>4</v>
      </c>
      <c r="H244" s="34"/>
      <c r="I244" s="27"/>
      <c r="J244" s="27"/>
      <c r="K244" s="27"/>
      <c r="L244" s="27"/>
      <c r="M244" s="27"/>
      <c r="N244" s="27"/>
      <c r="O244" s="27"/>
      <c r="P244" s="27"/>
      <c r="Q244" s="4"/>
      <c r="R244" s="4"/>
      <c r="S244" s="4"/>
      <c r="T244" s="4"/>
      <c r="U244" s="4"/>
      <c r="V244" s="4"/>
      <c r="W244" s="27"/>
      <c r="X244" s="27"/>
      <c r="Y244" s="27"/>
      <c r="Z244" s="4"/>
      <c r="AA244" s="4"/>
      <c r="AB244" s="27"/>
      <c r="AC244" s="27"/>
      <c r="AD244" s="10"/>
      <c r="AE244" s="4"/>
      <c r="AF244" s="4"/>
      <c r="AG244" s="4"/>
      <c r="AH244" s="4"/>
      <c r="AI244" s="4"/>
      <c r="AJ244" s="4"/>
      <c r="AK244" s="4"/>
      <c r="AL244" s="4"/>
      <c r="AM244" s="4"/>
      <c r="AN244" s="17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27"/>
      <c r="BA244" s="4"/>
      <c r="BB244" s="4"/>
      <c r="BC244" s="4"/>
      <c r="BD244" s="4"/>
      <c r="BE244" s="4"/>
      <c r="BF244" s="27"/>
      <c r="BG244" s="27"/>
      <c r="BH244" s="4"/>
      <c r="BI244" s="4"/>
      <c r="BJ244" s="5">
        <f t="shared" si="9"/>
        <v>6</v>
      </c>
      <c r="BK244" s="42" t="s">
        <v>22</v>
      </c>
      <c r="BL244" s="42"/>
      <c r="BM244" s="13"/>
    </row>
    <row r="245" spans="1:65" s="8" customFormat="1" ht="11.25">
      <c r="A245" s="44" t="s">
        <v>252</v>
      </c>
      <c r="B245" s="9" t="s">
        <v>114</v>
      </c>
      <c r="C245" s="9" t="s">
        <v>115</v>
      </c>
      <c r="D245" s="21" t="s">
        <v>80</v>
      </c>
      <c r="E245" s="28"/>
      <c r="F245" s="28"/>
      <c r="G245" s="5"/>
      <c r="H245" s="34"/>
      <c r="I245" s="28"/>
      <c r="J245" s="28"/>
      <c r="K245" s="28"/>
      <c r="L245" s="28"/>
      <c r="M245" s="28"/>
      <c r="N245" s="28"/>
      <c r="O245" s="28"/>
      <c r="P245" s="28"/>
      <c r="Q245" s="5"/>
      <c r="R245" s="5"/>
      <c r="S245" s="5"/>
      <c r="T245" s="5"/>
      <c r="U245" s="5"/>
      <c r="V245" s="5"/>
      <c r="W245" s="28"/>
      <c r="X245" s="28"/>
      <c r="Y245" s="28"/>
      <c r="Z245" s="5"/>
      <c r="AA245" s="5"/>
      <c r="AB245" s="28"/>
      <c r="AC245" s="28"/>
      <c r="AD245" s="11"/>
      <c r="AE245" s="5"/>
      <c r="AF245" s="5"/>
      <c r="AG245" s="5"/>
      <c r="AH245" s="5"/>
      <c r="AI245" s="5"/>
      <c r="AJ245" s="5"/>
      <c r="AK245" s="5"/>
      <c r="AL245" s="5"/>
      <c r="AM245" s="5"/>
      <c r="AN245" s="17"/>
      <c r="AO245" s="5"/>
      <c r="AP245" s="5"/>
      <c r="AQ245" s="5"/>
      <c r="AR245" s="5"/>
      <c r="AS245" s="5"/>
      <c r="AT245" s="5"/>
      <c r="AU245" s="5"/>
      <c r="AV245" s="5"/>
      <c r="AW245" s="5">
        <v>2</v>
      </c>
      <c r="AX245" s="5">
        <v>1</v>
      </c>
      <c r="AY245" s="5">
        <v>1</v>
      </c>
      <c r="AZ245" s="28"/>
      <c r="BA245" s="5"/>
      <c r="BB245" s="5"/>
      <c r="BC245" s="5"/>
      <c r="BD245" s="5"/>
      <c r="BE245" s="5"/>
      <c r="BF245" s="28"/>
      <c r="BG245" s="28"/>
      <c r="BH245" s="5"/>
      <c r="BI245" s="5"/>
      <c r="BJ245" s="5">
        <f t="shared" si="9"/>
        <v>4</v>
      </c>
      <c r="BK245" s="42" t="s">
        <v>80</v>
      </c>
      <c r="BL245" s="42"/>
      <c r="BM245" s="13"/>
    </row>
    <row r="246" spans="1:65" s="8" customFormat="1" ht="11.25" hidden="1">
      <c r="A246" s="44"/>
      <c r="B246" s="9" t="str">
        <f>"RAJZLAP"</f>
        <v>RAJZLAP</v>
      </c>
      <c r="C246" s="9" t="str">
        <f>"A/1"</f>
        <v>A/1</v>
      </c>
      <c r="D246" s="21"/>
      <c r="E246" s="28"/>
      <c r="F246" s="28"/>
      <c r="G246" s="5"/>
      <c r="H246" s="34"/>
      <c r="I246" s="28"/>
      <c r="J246" s="28"/>
      <c r="K246" s="28"/>
      <c r="L246" s="28"/>
      <c r="M246" s="28"/>
      <c r="N246" s="28"/>
      <c r="O246" s="28"/>
      <c r="P246" s="28"/>
      <c r="Q246" s="5"/>
      <c r="R246" s="5"/>
      <c r="S246" s="5"/>
      <c r="T246" s="5"/>
      <c r="U246" s="5"/>
      <c r="V246" s="5"/>
      <c r="W246" s="28"/>
      <c r="X246" s="28"/>
      <c r="Y246" s="28"/>
      <c r="Z246" s="5"/>
      <c r="AA246" s="5"/>
      <c r="AB246" s="28"/>
      <c r="AC246" s="28"/>
      <c r="AD246" s="11"/>
      <c r="AE246" s="5"/>
      <c r="AF246" s="5"/>
      <c r="AG246" s="5"/>
      <c r="AH246" s="5"/>
      <c r="AI246" s="5"/>
      <c r="AJ246" s="5"/>
      <c r="AK246" s="5"/>
      <c r="AL246" s="5"/>
      <c r="AM246" s="5"/>
      <c r="AN246" s="17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28"/>
      <c r="BA246" s="5"/>
      <c r="BB246" s="5"/>
      <c r="BC246" s="5"/>
      <c r="BD246" s="5"/>
      <c r="BE246" s="5"/>
      <c r="BF246" s="28"/>
      <c r="BG246" s="28"/>
      <c r="BH246" s="5"/>
      <c r="BI246" s="5"/>
      <c r="BJ246" s="5">
        <f t="shared" si="9"/>
        <v>0</v>
      </c>
      <c r="BK246" s="42"/>
      <c r="BL246" s="42"/>
      <c r="BM246" s="13"/>
    </row>
    <row r="247" spans="1:65" s="8" customFormat="1" ht="11.25" hidden="1">
      <c r="A247" s="44"/>
      <c r="B247" s="9" t="str">
        <f>"RAJZLAP"</f>
        <v>RAJZLAP</v>
      </c>
      <c r="C247" s="9" t="str">
        <f>"A/2"</f>
        <v>A/2</v>
      </c>
      <c r="D247" s="21"/>
      <c r="E247" s="28"/>
      <c r="F247" s="28"/>
      <c r="G247" s="5"/>
      <c r="H247" s="34"/>
      <c r="I247" s="28"/>
      <c r="J247" s="28"/>
      <c r="K247" s="28"/>
      <c r="L247" s="28"/>
      <c r="M247" s="28"/>
      <c r="N247" s="28"/>
      <c r="O247" s="28"/>
      <c r="P247" s="28"/>
      <c r="Q247" s="5"/>
      <c r="R247" s="5"/>
      <c r="S247" s="5"/>
      <c r="T247" s="5"/>
      <c r="U247" s="5"/>
      <c r="V247" s="5"/>
      <c r="W247" s="28"/>
      <c r="X247" s="28"/>
      <c r="Y247" s="28"/>
      <c r="Z247" s="5"/>
      <c r="AA247" s="5"/>
      <c r="AB247" s="28"/>
      <c r="AC247" s="28"/>
      <c r="AD247" s="11"/>
      <c r="AE247" s="5"/>
      <c r="AF247" s="5"/>
      <c r="AG247" s="5"/>
      <c r="AH247" s="5"/>
      <c r="AI247" s="5"/>
      <c r="AJ247" s="5"/>
      <c r="AK247" s="5"/>
      <c r="AL247" s="5"/>
      <c r="AM247" s="5"/>
      <c r="AN247" s="17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28"/>
      <c r="BA247" s="5"/>
      <c r="BB247" s="5"/>
      <c r="BC247" s="5"/>
      <c r="BD247" s="5"/>
      <c r="BE247" s="5"/>
      <c r="BF247" s="28"/>
      <c r="BG247" s="28"/>
      <c r="BH247" s="5"/>
      <c r="BI247" s="5"/>
      <c r="BJ247" s="5">
        <f t="shared" si="9"/>
        <v>0</v>
      </c>
      <c r="BK247" s="42"/>
      <c r="BL247" s="42"/>
      <c r="BM247" s="13"/>
    </row>
    <row r="248" spans="1:65" s="8" customFormat="1" ht="11.25" hidden="1">
      <c r="A248" s="44"/>
      <c r="B248" s="9" t="str">
        <f>"RAJZLAP"</f>
        <v>RAJZLAP</v>
      </c>
      <c r="C248" s="9" t="str">
        <f>"A/4"</f>
        <v>A/4</v>
      </c>
      <c r="D248" s="21"/>
      <c r="E248" s="28"/>
      <c r="F248" s="28"/>
      <c r="G248" s="5"/>
      <c r="H248" s="34"/>
      <c r="I248" s="28"/>
      <c r="J248" s="28"/>
      <c r="K248" s="28"/>
      <c r="L248" s="28"/>
      <c r="M248" s="28"/>
      <c r="N248" s="28"/>
      <c r="O248" s="28"/>
      <c r="P248" s="28"/>
      <c r="Q248" s="5"/>
      <c r="R248" s="5"/>
      <c r="S248" s="5"/>
      <c r="T248" s="5"/>
      <c r="U248" s="5"/>
      <c r="V248" s="5"/>
      <c r="W248" s="28"/>
      <c r="X248" s="28"/>
      <c r="Y248" s="28"/>
      <c r="Z248" s="5"/>
      <c r="AA248" s="5"/>
      <c r="AB248" s="28"/>
      <c r="AC248" s="28"/>
      <c r="AD248" s="11"/>
      <c r="AE248" s="5"/>
      <c r="AF248" s="5"/>
      <c r="AG248" s="5"/>
      <c r="AH248" s="5"/>
      <c r="AI248" s="5"/>
      <c r="AJ248" s="5"/>
      <c r="AK248" s="5"/>
      <c r="AL248" s="5"/>
      <c r="AM248" s="5"/>
      <c r="AN248" s="17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28"/>
      <c r="BA248" s="5"/>
      <c r="BB248" s="5"/>
      <c r="BC248" s="5"/>
      <c r="BD248" s="5"/>
      <c r="BE248" s="5"/>
      <c r="BF248" s="28"/>
      <c r="BG248" s="28"/>
      <c r="BH248" s="5"/>
      <c r="BI248" s="5"/>
      <c r="BJ248" s="5">
        <f t="shared" si="9"/>
        <v>0</v>
      </c>
      <c r="BK248" s="42"/>
      <c r="BL248" s="42"/>
      <c r="BM248" s="13"/>
    </row>
    <row r="249" spans="1:65" s="8" customFormat="1" ht="11.25">
      <c r="A249" s="44" t="s">
        <v>253</v>
      </c>
      <c r="B249" s="8" t="s">
        <v>89</v>
      </c>
      <c r="D249" s="21" t="s">
        <v>31</v>
      </c>
      <c r="E249" s="28"/>
      <c r="F249" s="28">
        <v>4</v>
      </c>
      <c r="G249" s="5"/>
      <c r="H249" s="28"/>
      <c r="I249" s="28"/>
      <c r="J249" s="28"/>
      <c r="K249" s="28"/>
      <c r="L249" s="28"/>
      <c r="M249" s="28"/>
      <c r="N249" s="28"/>
      <c r="O249" s="28"/>
      <c r="P249" s="28"/>
      <c r="Q249" s="5">
        <v>1</v>
      </c>
      <c r="R249" s="5"/>
      <c r="S249" s="5"/>
      <c r="T249" s="5"/>
      <c r="U249" s="5"/>
      <c r="V249" s="5"/>
      <c r="W249" s="28"/>
      <c r="X249" s="28"/>
      <c r="Y249" s="28"/>
      <c r="Z249" s="5"/>
      <c r="AA249" s="5"/>
      <c r="AB249" s="28"/>
      <c r="AC249" s="28"/>
      <c r="AD249" s="11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>
        <v>1</v>
      </c>
      <c r="AT249" s="5"/>
      <c r="AU249" s="5"/>
      <c r="AV249" s="5"/>
      <c r="AW249" s="5"/>
      <c r="AX249" s="5"/>
      <c r="AY249" s="5"/>
      <c r="AZ249" s="28"/>
      <c r="BA249" s="5"/>
      <c r="BB249" s="5"/>
      <c r="BC249" s="5"/>
      <c r="BD249" s="5"/>
      <c r="BE249" s="5"/>
      <c r="BF249" s="28"/>
      <c r="BG249" s="28"/>
      <c r="BH249" s="5"/>
      <c r="BI249" s="5"/>
      <c r="BJ249" s="5">
        <f t="shared" si="9"/>
        <v>6</v>
      </c>
      <c r="BK249" s="42" t="s">
        <v>31</v>
      </c>
      <c r="BL249" s="42"/>
      <c r="BM249" s="13"/>
    </row>
    <row r="250" spans="1:65" s="9" customFormat="1" ht="11.25" hidden="1">
      <c r="A250" s="43"/>
      <c r="B250" s="9" t="str">
        <f>"RAKTÁRI KÉSZLETNYILVÁNTARTÓ"</f>
        <v>RAKTÁRI KÉSZLETNYILVÁNTARTÓ</v>
      </c>
      <c r="C250" s="9" t="str">
        <f>"B.12-152"</f>
        <v>B.12-152</v>
      </c>
      <c r="D250" s="17"/>
      <c r="E250" s="27"/>
      <c r="F250" s="27"/>
      <c r="G250" s="4"/>
      <c r="H250" s="34"/>
      <c r="I250" s="27"/>
      <c r="J250" s="27"/>
      <c r="K250" s="27"/>
      <c r="L250" s="27"/>
      <c r="M250" s="27"/>
      <c r="N250" s="27"/>
      <c r="O250" s="27"/>
      <c r="P250" s="27"/>
      <c r="Q250" s="4"/>
      <c r="R250" s="4"/>
      <c r="S250" s="4"/>
      <c r="T250" s="4"/>
      <c r="U250" s="4"/>
      <c r="V250" s="4"/>
      <c r="W250" s="27"/>
      <c r="X250" s="27"/>
      <c r="Y250" s="27"/>
      <c r="Z250" s="4"/>
      <c r="AA250" s="4"/>
      <c r="AB250" s="27"/>
      <c r="AC250" s="27"/>
      <c r="AD250" s="10"/>
      <c r="AE250" s="4"/>
      <c r="AF250" s="4"/>
      <c r="AG250" s="4"/>
      <c r="AH250" s="4"/>
      <c r="AI250" s="4"/>
      <c r="AJ250" s="4"/>
      <c r="AK250" s="4"/>
      <c r="AL250" s="4"/>
      <c r="AM250" s="4"/>
      <c r="AN250" s="17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27"/>
      <c r="BA250" s="4"/>
      <c r="BB250" s="4"/>
      <c r="BC250" s="4"/>
      <c r="BD250" s="4"/>
      <c r="BE250" s="4"/>
      <c r="BF250" s="27"/>
      <c r="BG250" s="27"/>
      <c r="BH250" s="4"/>
      <c r="BI250" s="4"/>
      <c r="BJ250" s="5">
        <f t="shared" si="9"/>
        <v>0</v>
      </c>
      <c r="BK250" s="41"/>
      <c r="BL250" s="41"/>
      <c r="BM250" s="51"/>
    </row>
    <row r="251" spans="1:65" s="9" customFormat="1" ht="11.25" hidden="1">
      <c r="A251" s="43"/>
      <c r="B251" s="9" t="s">
        <v>2</v>
      </c>
      <c r="C251" s="9" t="s">
        <v>5</v>
      </c>
      <c r="D251" s="21" t="s">
        <v>22</v>
      </c>
      <c r="E251" s="27"/>
      <c r="F251" s="27"/>
      <c r="G251" s="4"/>
      <c r="H251" s="34"/>
      <c r="I251" s="27"/>
      <c r="J251" s="27"/>
      <c r="K251" s="27"/>
      <c r="L251" s="27"/>
      <c r="M251" s="27"/>
      <c r="N251" s="27"/>
      <c r="O251" s="27"/>
      <c r="P251" s="27"/>
      <c r="Q251" s="4"/>
      <c r="R251" s="4"/>
      <c r="S251" s="4"/>
      <c r="T251" s="4"/>
      <c r="U251" s="4"/>
      <c r="V251" s="4"/>
      <c r="W251" s="27"/>
      <c r="X251" s="27"/>
      <c r="Y251" s="27"/>
      <c r="Z251" s="4"/>
      <c r="AA251" s="4"/>
      <c r="AB251" s="27"/>
      <c r="AC251" s="28"/>
      <c r="AD251" s="10"/>
      <c r="AE251" s="4"/>
      <c r="AF251" s="4"/>
      <c r="AG251" s="4"/>
      <c r="AH251" s="4"/>
      <c r="AI251" s="4"/>
      <c r="AJ251" s="4"/>
      <c r="AK251" s="4"/>
      <c r="AL251" s="4"/>
      <c r="AM251" s="4"/>
      <c r="AN251" s="17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27"/>
      <c r="BA251" s="4"/>
      <c r="BB251" s="4"/>
      <c r="BC251" s="4"/>
      <c r="BD251" s="4"/>
      <c r="BE251" s="4"/>
      <c r="BF251" s="27"/>
      <c r="BG251" s="27"/>
      <c r="BH251" s="4"/>
      <c r="BI251" s="4"/>
      <c r="BJ251" s="5">
        <f t="shared" si="9"/>
        <v>0</v>
      </c>
      <c r="BK251" s="42" t="s">
        <v>22</v>
      </c>
      <c r="BL251" s="42"/>
      <c r="BM251" s="51"/>
    </row>
    <row r="252" spans="1:67" s="8" customFormat="1" ht="11.25">
      <c r="A252" s="44" t="s">
        <v>254</v>
      </c>
      <c r="B252" s="9" t="str">
        <f>"LAPSZÉLJELÖLŐ"</f>
        <v>LAPSZÉLJELÖLŐ</v>
      </c>
      <c r="C252" s="9" t="s">
        <v>73</v>
      </c>
      <c r="D252" s="21" t="s">
        <v>22</v>
      </c>
      <c r="E252" s="28"/>
      <c r="F252" s="28"/>
      <c r="G252" s="5">
        <v>2</v>
      </c>
      <c r="H252" s="34"/>
      <c r="I252" s="28"/>
      <c r="J252" s="28"/>
      <c r="K252" s="28"/>
      <c r="L252" s="28"/>
      <c r="M252" s="28"/>
      <c r="N252" s="28"/>
      <c r="O252" s="28"/>
      <c r="P252" s="28"/>
      <c r="Q252" s="5"/>
      <c r="R252" s="5"/>
      <c r="S252" s="5"/>
      <c r="T252" s="5"/>
      <c r="U252" s="5"/>
      <c r="V252" s="5"/>
      <c r="W252" s="28"/>
      <c r="X252" s="28"/>
      <c r="Y252" s="28"/>
      <c r="Z252" s="5"/>
      <c r="AA252" s="5"/>
      <c r="AB252" s="28"/>
      <c r="AC252" s="28"/>
      <c r="AD252" s="11"/>
      <c r="AE252" s="5"/>
      <c r="AF252" s="5"/>
      <c r="AG252" s="5"/>
      <c r="AH252" s="5"/>
      <c r="AI252" s="5"/>
      <c r="AJ252" s="5"/>
      <c r="AK252" s="5"/>
      <c r="AL252" s="5"/>
      <c r="AM252" s="5"/>
      <c r="AN252" s="17"/>
      <c r="AO252" s="5"/>
      <c r="AP252" s="5"/>
      <c r="AQ252" s="5"/>
      <c r="AR252" s="5"/>
      <c r="AS252" s="5">
        <v>1</v>
      </c>
      <c r="AT252" s="5"/>
      <c r="AU252" s="5"/>
      <c r="AV252" s="5">
        <v>1</v>
      </c>
      <c r="AW252" s="5">
        <v>2</v>
      </c>
      <c r="AX252" s="5"/>
      <c r="AY252" s="5"/>
      <c r="AZ252" s="28"/>
      <c r="BA252" s="5"/>
      <c r="BB252" s="5"/>
      <c r="BC252" s="5"/>
      <c r="BD252" s="5"/>
      <c r="BE252" s="5"/>
      <c r="BF252" s="28"/>
      <c r="BG252" s="28"/>
      <c r="BH252" s="5"/>
      <c r="BI252" s="5"/>
      <c r="BJ252" s="5">
        <f t="shared" si="9"/>
        <v>6</v>
      </c>
      <c r="BK252" s="42" t="s">
        <v>22</v>
      </c>
      <c r="BL252" s="42"/>
      <c r="BM252" s="13"/>
      <c r="BO252" s="9"/>
    </row>
    <row r="253" spans="1:65" s="9" customFormat="1" ht="11.25" hidden="1">
      <c r="A253" s="43"/>
      <c r="B253" s="9" t="s">
        <v>113</v>
      </c>
      <c r="C253" s="9" t="str">
        <f>"PENTEL"</f>
        <v>PENTEL</v>
      </c>
      <c r="D253" s="21" t="s">
        <v>22</v>
      </c>
      <c r="E253" s="27"/>
      <c r="F253" s="27"/>
      <c r="G253" s="4"/>
      <c r="H253" s="34"/>
      <c r="I253" s="27"/>
      <c r="J253" s="27"/>
      <c r="K253" s="27"/>
      <c r="L253" s="27"/>
      <c r="M253" s="27"/>
      <c r="N253" s="27"/>
      <c r="O253" s="27"/>
      <c r="P253" s="27"/>
      <c r="Q253" s="4"/>
      <c r="R253" s="4"/>
      <c r="S253" s="4"/>
      <c r="T253" s="4"/>
      <c r="U253" s="4"/>
      <c r="V253" s="4"/>
      <c r="W253" s="27"/>
      <c r="X253" s="27"/>
      <c r="Y253" s="27"/>
      <c r="Z253" s="4"/>
      <c r="AA253" s="4"/>
      <c r="AB253" s="27"/>
      <c r="AC253" s="27"/>
      <c r="AD253" s="10"/>
      <c r="AE253" s="4"/>
      <c r="AF253" s="4"/>
      <c r="AG253" s="4"/>
      <c r="AH253" s="4"/>
      <c r="AI253" s="4"/>
      <c r="AJ253" s="4"/>
      <c r="AK253" s="4"/>
      <c r="AL253" s="4"/>
      <c r="AM253" s="4"/>
      <c r="AN253" s="17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27"/>
      <c r="BA253" s="4"/>
      <c r="BB253" s="4"/>
      <c r="BC253" s="4"/>
      <c r="BD253" s="4"/>
      <c r="BE253" s="4"/>
      <c r="BF253" s="27"/>
      <c r="BG253" s="27"/>
      <c r="BH253" s="4"/>
      <c r="BI253" s="4"/>
      <c r="BJ253" s="5">
        <f t="shared" si="9"/>
        <v>0</v>
      </c>
      <c r="BK253" s="42" t="s">
        <v>22</v>
      </c>
      <c r="BL253" s="42"/>
      <c r="BM253" s="51"/>
    </row>
    <row r="254" spans="1:67" s="9" customFormat="1" ht="11.25" hidden="1">
      <c r="A254" s="43"/>
      <c r="B254" s="9" t="s">
        <v>113</v>
      </c>
      <c r="C254" s="9" t="str">
        <f>"ULTRA FINE 3"</f>
        <v>ULTRA FINE 3</v>
      </c>
      <c r="D254" s="21" t="s">
        <v>22</v>
      </c>
      <c r="E254" s="27"/>
      <c r="F254" s="27"/>
      <c r="G254" s="4"/>
      <c r="H254" s="34"/>
      <c r="I254" s="27"/>
      <c r="J254" s="27"/>
      <c r="K254" s="27"/>
      <c r="L254" s="27"/>
      <c r="M254" s="27"/>
      <c r="N254" s="27"/>
      <c r="O254" s="27"/>
      <c r="P254" s="27"/>
      <c r="Q254" s="4"/>
      <c r="R254" s="4"/>
      <c r="S254" s="4"/>
      <c r="T254" s="4"/>
      <c r="U254" s="4"/>
      <c r="V254" s="4"/>
      <c r="W254" s="27"/>
      <c r="X254" s="27"/>
      <c r="Y254" s="27"/>
      <c r="Z254" s="4"/>
      <c r="AA254" s="4"/>
      <c r="AB254" s="27"/>
      <c r="AC254" s="27"/>
      <c r="AD254" s="10"/>
      <c r="AE254" s="4"/>
      <c r="AF254" s="4"/>
      <c r="AG254" s="4"/>
      <c r="AH254" s="4"/>
      <c r="AI254" s="4"/>
      <c r="AJ254" s="4"/>
      <c r="AK254" s="4"/>
      <c r="AL254" s="4"/>
      <c r="AM254" s="4"/>
      <c r="AN254" s="17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27"/>
      <c r="BA254" s="4"/>
      <c r="BB254" s="4"/>
      <c r="BC254" s="4"/>
      <c r="BD254" s="4"/>
      <c r="BE254" s="4"/>
      <c r="BF254" s="27"/>
      <c r="BG254" s="27"/>
      <c r="BH254" s="4"/>
      <c r="BI254" s="4"/>
      <c r="BJ254" s="5">
        <f t="shared" si="9"/>
        <v>0</v>
      </c>
      <c r="BK254" s="42" t="s">
        <v>22</v>
      </c>
      <c r="BL254" s="42"/>
      <c r="BM254" s="51"/>
      <c r="BO254" s="8"/>
    </row>
    <row r="255" spans="1:65" s="8" customFormat="1" ht="11.25" hidden="1">
      <c r="A255" s="44"/>
      <c r="B255" s="9" t="s">
        <v>113</v>
      </c>
      <c r="C255" s="9" t="str">
        <f>"18X25 MM"</f>
        <v>18X25 MM</v>
      </c>
      <c r="D255" s="21" t="s">
        <v>22</v>
      </c>
      <c r="E255" s="28"/>
      <c r="F255" s="28"/>
      <c r="G255" s="5"/>
      <c r="H255" s="34"/>
      <c r="I255" s="28"/>
      <c r="J255" s="28"/>
      <c r="K255" s="28"/>
      <c r="L255" s="28"/>
      <c r="M255" s="28"/>
      <c r="N255" s="28"/>
      <c r="O255" s="28"/>
      <c r="P255" s="28"/>
      <c r="Q255" s="5"/>
      <c r="R255" s="5"/>
      <c r="S255" s="5"/>
      <c r="T255" s="5"/>
      <c r="U255" s="5"/>
      <c r="V255" s="5"/>
      <c r="W255" s="28"/>
      <c r="X255" s="28"/>
      <c r="Y255" s="28"/>
      <c r="Z255" s="5"/>
      <c r="AA255" s="5"/>
      <c r="AB255" s="28"/>
      <c r="AC255" s="28"/>
      <c r="AD255" s="11"/>
      <c r="AE255" s="5"/>
      <c r="AF255" s="5"/>
      <c r="AG255" s="5"/>
      <c r="AH255" s="5"/>
      <c r="AI255" s="5"/>
      <c r="AJ255" s="5"/>
      <c r="AK255" s="5"/>
      <c r="AL255" s="5"/>
      <c r="AM255" s="5"/>
      <c r="AN255" s="17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28"/>
      <c r="BA255" s="5"/>
      <c r="BB255" s="5"/>
      <c r="BC255" s="5"/>
      <c r="BD255" s="5"/>
      <c r="BE255" s="5"/>
      <c r="BF255" s="28"/>
      <c r="BG255" s="28"/>
      <c r="BH255" s="5"/>
      <c r="BI255" s="5"/>
      <c r="BJ255" s="5">
        <f t="shared" si="9"/>
        <v>0</v>
      </c>
      <c r="BK255" s="42" t="s">
        <v>22</v>
      </c>
      <c r="BL255" s="42"/>
      <c r="BM255" s="13"/>
    </row>
    <row r="256" spans="1:67" s="8" customFormat="1" ht="11.25" hidden="1">
      <c r="A256" s="44"/>
      <c r="B256" s="9" t="s">
        <v>113</v>
      </c>
      <c r="C256" s="9" t="str">
        <f>"20X32 MM"</f>
        <v>20X32 MM</v>
      </c>
      <c r="D256" s="21" t="s">
        <v>22</v>
      </c>
      <c r="E256" s="28"/>
      <c r="F256" s="28"/>
      <c r="G256" s="5"/>
      <c r="H256" s="34"/>
      <c r="I256" s="28"/>
      <c r="J256" s="28"/>
      <c r="K256" s="28"/>
      <c r="L256" s="28"/>
      <c r="M256" s="28"/>
      <c r="N256" s="28"/>
      <c r="O256" s="28"/>
      <c r="P256" s="28"/>
      <c r="Q256" s="5"/>
      <c r="R256" s="5"/>
      <c r="S256" s="5"/>
      <c r="T256" s="5"/>
      <c r="U256" s="5"/>
      <c r="V256" s="5"/>
      <c r="W256" s="28"/>
      <c r="X256" s="28"/>
      <c r="Y256" s="28"/>
      <c r="Z256" s="5"/>
      <c r="AA256" s="5"/>
      <c r="AB256" s="28"/>
      <c r="AC256" s="28"/>
      <c r="AD256" s="11"/>
      <c r="AE256" s="5"/>
      <c r="AF256" s="5"/>
      <c r="AG256" s="5"/>
      <c r="AH256" s="5"/>
      <c r="AI256" s="5"/>
      <c r="AJ256" s="5"/>
      <c r="AK256" s="5"/>
      <c r="AL256" s="5"/>
      <c r="AM256" s="5"/>
      <c r="AN256" s="17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28"/>
      <c r="BA256" s="5"/>
      <c r="BB256" s="5"/>
      <c r="BC256" s="5"/>
      <c r="BD256" s="5"/>
      <c r="BE256" s="5"/>
      <c r="BF256" s="28"/>
      <c r="BG256" s="28"/>
      <c r="BH256" s="5"/>
      <c r="BI256" s="5"/>
      <c r="BJ256" s="5">
        <f t="shared" si="9"/>
        <v>0</v>
      </c>
      <c r="BK256" s="42" t="s">
        <v>22</v>
      </c>
      <c r="BL256" s="42"/>
      <c r="BM256" s="13"/>
      <c r="BO256" s="9"/>
    </row>
    <row r="257" spans="1:67" s="9" customFormat="1" ht="11.25" hidden="1">
      <c r="A257" s="43"/>
      <c r="B257" s="9" t="s">
        <v>113</v>
      </c>
      <c r="C257" s="9" t="str">
        <f>"PÁTRIA"</f>
        <v>PÁTRIA</v>
      </c>
      <c r="D257" s="21" t="s">
        <v>22</v>
      </c>
      <c r="E257" s="27"/>
      <c r="F257" s="27"/>
      <c r="G257" s="4"/>
      <c r="H257" s="34"/>
      <c r="I257" s="27"/>
      <c r="J257" s="27"/>
      <c r="K257" s="27"/>
      <c r="L257" s="27"/>
      <c r="M257" s="27"/>
      <c r="N257" s="27"/>
      <c r="O257" s="27"/>
      <c r="P257" s="27"/>
      <c r="Q257" s="4"/>
      <c r="R257" s="4"/>
      <c r="S257" s="4"/>
      <c r="T257" s="4"/>
      <c r="U257" s="4"/>
      <c r="V257" s="4"/>
      <c r="W257" s="27"/>
      <c r="X257" s="27"/>
      <c r="Y257" s="27"/>
      <c r="Z257" s="4"/>
      <c r="AA257" s="4"/>
      <c r="AB257" s="27"/>
      <c r="AC257" s="27"/>
      <c r="AD257" s="10"/>
      <c r="AE257" s="4"/>
      <c r="AF257" s="4"/>
      <c r="AG257" s="4"/>
      <c r="AH257" s="4"/>
      <c r="AI257" s="4"/>
      <c r="AJ257" s="4"/>
      <c r="AK257" s="4"/>
      <c r="AL257" s="4"/>
      <c r="AM257" s="4"/>
      <c r="AN257" s="17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27"/>
      <c r="BA257" s="4"/>
      <c r="BB257" s="4"/>
      <c r="BC257" s="4"/>
      <c r="BD257" s="4"/>
      <c r="BE257" s="4"/>
      <c r="BF257" s="27"/>
      <c r="BG257" s="27"/>
      <c r="BH257" s="4"/>
      <c r="BI257" s="4"/>
      <c r="BJ257" s="5">
        <f t="shared" si="9"/>
        <v>0</v>
      </c>
      <c r="BK257" s="42" t="s">
        <v>22</v>
      </c>
      <c r="BL257" s="42"/>
      <c r="BM257" s="51"/>
      <c r="BO257" s="8"/>
    </row>
    <row r="258" spans="1:65" s="8" customFormat="1" ht="11.25" hidden="1">
      <c r="A258" s="44"/>
      <c r="B258" s="9" t="s">
        <v>113</v>
      </c>
      <c r="C258" s="9"/>
      <c r="D258" s="21" t="s">
        <v>22</v>
      </c>
      <c r="E258" s="28"/>
      <c r="F258" s="28"/>
      <c r="G258" s="5"/>
      <c r="H258" s="34"/>
      <c r="I258" s="28"/>
      <c r="J258" s="28"/>
      <c r="K258" s="28"/>
      <c r="L258" s="28"/>
      <c r="M258" s="28"/>
      <c r="N258" s="28"/>
      <c r="O258" s="28"/>
      <c r="P258" s="28"/>
      <c r="Q258" s="5"/>
      <c r="R258" s="5"/>
      <c r="S258" s="5"/>
      <c r="T258" s="5"/>
      <c r="U258" s="5"/>
      <c r="V258" s="5"/>
      <c r="W258" s="28"/>
      <c r="X258" s="28"/>
      <c r="Y258" s="28"/>
      <c r="Z258" s="5"/>
      <c r="AA258" s="5"/>
      <c r="AB258" s="28"/>
      <c r="AC258" s="28"/>
      <c r="AD258" s="11"/>
      <c r="AE258" s="5"/>
      <c r="AF258" s="5"/>
      <c r="AG258" s="5"/>
      <c r="AH258" s="5"/>
      <c r="AI258" s="5"/>
      <c r="AJ258" s="5"/>
      <c r="AK258" s="5"/>
      <c r="AL258" s="5"/>
      <c r="AM258" s="5"/>
      <c r="AN258" s="17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28"/>
      <c r="BA258" s="5"/>
      <c r="BB258" s="5"/>
      <c r="BC258" s="5"/>
      <c r="BD258" s="5"/>
      <c r="BE258" s="5"/>
      <c r="BF258" s="28"/>
      <c r="BG258" s="28"/>
      <c r="BH258" s="5"/>
      <c r="BI258" s="5"/>
      <c r="BJ258" s="5">
        <f t="shared" si="9"/>
        <v>0</v>
      </c>
      <c r="BK258" s="42" t="s">
        <v>22</v>
      </c>
      <c r="BL258" s="42"/>
      <c r="BM258" s="13"/>
    </row>
    <row r="259" spans="1:65" s="8" customFormat="1" ht="11.25">
      <c r="A259" s="44" t="s">
        <v>255</v>
      </c>
      <c r="B259" s="9" t="str">
        <f>"LAPSZÉLJELÖLŐ"</f>
        <v>LAPSZÉLJELÖLŐ</v>
      </c>
      <c r="C259" s="9" t="s">
        <v>72</v>
      </c>
      <c r="D259" s="21" t="s">
        <v>22</v>
      </c>
      <c r="E259" s="28"/>
      <c r="F259" s="28"/>
      <c r="G259" s="5">
        <v>2</v>
      </c>
      <c r="H259" s="34"/>
      <c r="I259" s="28"/>
      <c r="J259" s="28"/>
      <c r="K259" s="28"/>
      <c r="L259" s="28"/>
      <c r="M259" s="28"/>
      <c r="N259" s="28"/>
      <c r="O259" s="28"/>
      <c r="P259" s="28"/>
      <c r="Q259" s="5">
        <v>4</v>
      </c>
      <c r="R259" s="5"/>
      <c r="S259" s="5"/>
      <c r="T259" s="5"/>
      <c r="U259" s="5"/>
      <c r="V259" s="5"/>
      <c r="W259" s="28"/>
      <c r="X259" s="28"/>
      <c r="Y259" s="28"/>
      <c r="Z259" s="5"/>
      <c r="AA259" s="5"/>
      <c r="AB259" s="28"/>
      <c r="AC259" s="28"/>
      <c r="AD259" s="11"/>
      <c r="AE259" s="5"/>
      <c r="AF259" s="5"/>
      <c r="AG259" s="5"/>
      <c r="AH259" s="5"/>
      <c r="AI259" s="5"/>
      <c r="AJ259" s="5"/>
      <c r="AK259" s="5"/>
      <c r="AL259" s="5"/>
      <c r="AM259" s="5"/>
      <c r="AN259" s="17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28"/>
      <c r="BA259" s="5"/>
      <c r="BB259" s="5"/>
      <c r="BC259" s="5"/>
      <c r="BD259" s="5"/>
      <c r="BE259" s="5"/>
      <c r="BF259" s="28"/>
      <c r="BG259" s="28"/>
      <c r="BH259" s="5"/>
      <c r="BI259" s="5"/>
      <c r="BJ259" s="5">
        <f t="shared" si="9"/>
        <v>6</v>
      </c>
      <c r="BK259" s="42" t="s">
        <v>22</v>
      </c>
      <c r="BL259" s="42"/>
      <c r="BM259" s="13"/>
    </row>
    <row r="260" spans="1:67" s="9" customFormat="1" ht="11.25">
      <c r="A260" s="43" t="s">
        <v>256</v>
      </c>
      <c r="B260" s="9" t="s">
        <v>113</v>
      </c>
      <c r="C260" s="9" t="s">
        <v>74</v>
      </c>
      <c r="D260" s="21" t="s">
        <v>22</v>
      </c>
      <c r="E260" s="28"/>
      <c r="F260" s="28"/>
      <c r="G260" s="5"/>
      <c r="H260" s="34"/>
      <c r="I260" s="28"/>
      <c r="J260" s="28"/>
      <c r="K260" s="28"/>
      <c r="L260" s="28"/>
      <c r="M260" s="28"/>
      <c r="N260" s="28"/>
      <c r="O260" s="28"/>
      <c r="P260" s="28"/>
      <c r="Q260" s="5"/>
      <c r="R260" s="5"/>
      <c r="S260" s="5"/>
      <c r="T260" s="5"/>
      <c r="U260" s="5"/>
      <c r="V260" s="5"/>
      <c r="W260" s="28"/>
      <c r="X260" s="28"/>
      <c r="Y260" s="28"/>
      <c r="Z260" s="5"/>
      <c r="AA260" s="5"/>
      <c r="AB260" s="28"/>
      <c r="AC260" s="28">
        <v>1</v>
      </c>
      <c r="AD260" s="11"/>
      <c r="AE260" s="5"/>
      <c r="AF260" s="5"/>
      <c r="AG260" s="5"/>
      <c r="AH260" s="5"/>
      <c r="AI260" s="5"/>
      <c r="AJ260" s="5"/>
      <c r="AK260" s="5"/>
      <c r="AL260" s="5"/>
      <c r="AM260" s="5"/>
      <c r="AN260" s="17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28"/>
      <c r="BA260" s="5"/>
      <c r="BB260" s="5"/>
      <c r="BC260" s="5"/>
      <c r="BD260" s="5"/>
      <c r="BE260" s="5"/>
      <c r="BF260" s="28"/>
      <c r="BG260" s="28"/>
      <c r="BH260" s="5"/>
      <c r="BI260" s="5"/>
      <c r="BJ260" s="5">
        <f t="shared" si="9"/>
        <v>1</v>
      </c>
      <c r="BK260" s="42" t="s">
        <v>22</v>
      </c>
      <c r="BL260" s="42"/>
      <c r="BM260" s="51"/>
      <c r="BO260" s="8"/>
    </row>
    <row r="261" spans="1:65" s="8" customFormat="1" ht="11.25">
      <c r="A261" s="44" t="s">
        <v>257</v>
      </c>
      <c r="B261" s="9" t="s">
        <v>113</v>
      </c>
      <c r="C261" s="9" t="s">
        <v>127</v>
      </c>
      <c r="D261" s="21" t="s">
        <v>22</v>
      </c>
      <c r="E261" s="28"/>
      <c r="F261" s="28">
        <v>4</v>
      </c>
      <c r="G261" s="5"/>
      <c r="H261" s="34"/>
      <c r="I261" s="28"/>
      <c r="J261" s="28"/>
      <c r="K261" s="28"/>
      <c r="L261" s="28"/>
      <c r="M261" s="28"/>
      <c r="N261" s="28"/>
      <c r="O261" s="28"/>
      <c r="P261" s="28"/>
      <c r="Q261" s="5"/>
      <c r="R261" s="5"/>
      <c r="S261" s="5"/>
      <c r="T261" s="5"/>
      <c r="U261" s="5"/>
      <c r="V261" s="5"/>
      <c r="W261" s="28"/>
      <c r="X261" s="28"/>
      <c r="Y261" s="28"/>
      <c r="Z261" s="5"/>
      <c r="AA261" s="5"/>
      <c r="AB261" s="28"/>
      <c r="AC261" s="28"/>
      <c r="AD261" s="11"/>
      <c r="AE261" s="5"/>
      <c r="AF261" s="5"/>
      <c r="AG261" s="5"/>
      <c r="AH261" s="5"/>
      <c r="AI261" s="5"/>
      <c r="AJ261" s="5"/>
      <c r="AK261" s="5"/>
      <c r="AL261" s="5"/>
      <c r="AM261" s="5"/>
      <c r="AN261" s="17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28"/>
      <c r="BA261" s="5"/>
      <c r="BB261" s="5"/>
      <c r="BC261" s="5"/>
      <c r="BD261" s="5"/>
      <c r="BE261" s="5"/>
      <c r="BF261" s="28"/>
      <c r="BG261" s="28"/>
      <c r="BH261" s="5"/>
      <c r="BI261" s="5"/>
      <c r="BJ261" s="5">
        <f t="shared" si="9"/>
        <v>4</v>
      </c>
      <c r="BK261" s="42" t="s">
        <v>22</v>
      </c>
      <c r="BL261" s="42"/>
      <c r="BM261" s="13"/>
    </row>
    <row r="262" spans="1:65" s="8" customFormat="1" ht="11.25">
      <c r="A262" s="44" t="s">
        <v>258</v>
      </c>
      <c r="B262" s="8" t="s">
        <v>92</v>
      </c>
      <c r="C262" s="8" t="s">
        <v>91</v>
      </c>
      <c r="D262" s="21" t="s">
        <v>22</v>
      </c>
      <c r="E262" s="28">
        <v>10</v>
      </c>
      <c r="F262" s="28"/>
      <c r="G262" s="5"/>
      <c r="H262" s="31"/>
      <c r="I262" s="28"/>
      <c r="J262" s="28"/>
      <c r="K262" s="28"/>
      <c r="L262" s="28"/>
      <c r="M262" s="28"/>
      <c r="N262" s="28"/>
      <c r="O262" s="28"/>
      <c r="P262" s="28"/>
      <c r="Q262" s="5"/>
      <c r="R262" s="5"/>
      <c r="S262" s="5"/>
      <c r="T262" s="5"/>
      <c r="U262" s="5"/>
      <c r="V262" s="5"/>
      <c r="W262" s="28"/>
      <c r="X262" s="28">
        <v>5</v>
      </c>
      <c r="Y262" s="28"/>
      <c r="Z262" s="5"/>
      <c r="AA262" s="5"/>
      <c r="AB262" s="28"/>
      <c r="AC262" s="28"/>
      <c r="AD262" s="11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28"/>
      <c r="BA262" s="5"/>
      <c r="BB262" s="5"/>
      <c r="BC262" s="5"/>
      <c r="BD262" s="5"/>
      <c r="BE262" s="5"/>
      <c r="BF262" s="28"/>
      <c r="BG262" s="28"/>
      <c r="BH262" s="5"/>
      <c r="BI262" s="5"/>
      <c r="BJ262" s="5">
        <f t="shared" si="9"/>
        <v>15</v>
      </c>
      <c r="BK262" s="42" t="s">
        <v>22</v>
      </c>
      <c r="BL262" s="42"/>
      <c r="BM262" s="13"/>
    </row>
    <row r="263" spans="1:65" s="9" customFormat="1" ht="11.25" hidden="1">
      <c r="A263" s="43"/>
      <c r="B263" s="8" t="s">
        <v>87</v>
      </c>
      <c r="C263" s="8" t="s">
        <v>88</v>
      </c>
      <c r="D263" s="21" t="s">
        <v>129</v>
      </c>
      <c r="E263" s="27"/>
      <c r="F263" s="27"/>
      <c r="G263" s="4"/>
      <c r="H263" s="34"/>
      <c r="I263" s="27"/>
      <c r="J263" s="27"/>
      <c r="K263" s="27"/>
      <c r="L263" s="27"/>
      <c r="M263" s="27"/>
      <c r="N263" s="27"/>
      <c r="O263" s="27"/>
      <c r="P263" s="27"/>
      <c r="Q263" s="4"/>
      <c r="R263" s="4"/>
      <c r="S263" s="4"/>
      <c r="T263" s="4"/>
      <c r="U263" s="4"/>
      <c r="V263" s="4"/>
      <c r="W263" s="27"/>
      <c r="X263" s="27"/>
      <c r="Y263" s="27"/>
      <c r="Z263" s="4"/>
      <c r="AA263" s="4"/>
      <c r="AB263" s="27"/>
      <c r="AC263" s="27"/>
      <c r="AD263" s="10"/>
      <c r="AE263" s="4"/>
      <c r="AF263" s="4"/>
      <c r="AG263" s="4"/>
      <c r="AH263" s="4"/>
      <c r="AI263" s="4"/>
      <c r="AJ263" s="4"/>
      <c r="AK263" s="4"/>
      <c r="AL263" s="4"/>
      <c r="AM263" s="4"/>
      <c r="AN263" s="17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27"/>
      <c r="BA263" s="4"/>
      <c r="BB263" s="4"/>
      <c r="BC263" s="4"/>
      <c r="BD263" s="4"/>
      <c r="BE263" s="4"/>
      <c r="BF263" s="27"/>
      <c r="BG263" s="27"/>
      <c r="BH263" s="4"/>
      <c r="BI263" s="4"/>
      <c r="BJ263" s="5">
        <f t="shared" si="9"/>
        <v>0</v>
      </c>
      <c r="BK263" s="42" t="s">
        <v>129</v>
      </c>
      <c r="BL263" s="42"/>
      <c r="BM263" s="51"/>
    </row>
    <row r="264" spans="1:65" s="9" customFormat="1" ht="11.25" hidden="1">
      <c r="A264" s="43"/>
      <c r="B264" s="8" t="s">
        <v>87</v>
      </c>
      <c r="C264" s="8" t="s">
        <v>88</v>
      </c>
      <c r="D264" s="21" t="s">
        <v>130</v>
      </c>
      <c r="E264" s="27"/>
      <c r="F264" s="27"/>
      <c r="G264" s="4"/>
      <c r="H264" s="34"/>
      <c r="I264" s="27"/>
      <c r="J264" s="27"/>
      <c r="K264" s="27"/>
      <c r="L264" s="27"/>
      <c r="M264" s="27"/>
      <c r="N264" s="27"/>
      <c r="O264" s="27"/>
      <c r="P264" s="27"/>
      <c r="Q264" s="4"/>
      <c r="R264" s="4"/>
      <c r="S264" s="4"/>
      <c r="T264" s="4"/>
      <c r="U264" s="4"/>
      <c r="V264" s="4"/>
      <c r="W264" s="27"/>
      <c r="X264" s="27"/>
      <c r="Y264" s="27"/>
      <c r="Z264" s="4"/>
      <c r="AA264" s="4"/>
      <c r="AB264" s="27"/>
      <c r="AC264" s="27"/>
      <c r="AD264" s="10"/>
      <c r="AE264" s="4"/>
      <c r="AF264" s="4"/>
      <c r="AG264" s="4"/>
      <c r="AH264" s="4"/>
      <c r="AI264" s="4"/>
      <c r="AJ264" s="4"/>
      <c r="AK264" s="4"/>
      <c r="AL264" s="4"/>
      <c r="AM264" s="4"/>
      <c r="AN264" s="17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27"/>
      <c r="BA264" s="4"/>
      <c r="BB264" s="4"/>
      <c r="BC264" s="4"/>
      <c r="BD264" s="4"/>
      <c r="BE264" s="4"/>
      <c r="BF264" s="27"/>
      <c r="BG264" s="27"/>
      <c r="BH264" s="4"/>
      <c r="BI264" s="4"/>
      <c r="BJ264" s="5">
        <f t="shared" si="9"/>
        <v>0</v>
      </c>
      <c r="BK264" s="42" t="s">
        <v>130</v>
      </c>
      <c r="BL264" s="42"/>
      <c r="BM264" s="51"/>
    </row>
    <row r="265" spans="1:67" s="9" customFormat="1" ht="11.25" hidden="1">
      <c r="A265" s="43"/>
      <c r="B265" s="8" t="s">
        <v>87</v>
      </c>
      <c r="C265" s="8" t="s">
        <v>88</v>
      </c>
      <c r="D265" s="21" t="s">
        <v>131</v>
      </c>
      <c r="E265" s="27"/>
      <c r="F265" s="27"/>
      <c r="G265" s="4"/>
      <c r="H265" s="34"/>
      <c r="I265" s="27"/>
      <c r="J265" s="27"/>
      <c r="K265" s="27"/>
      <c r="L265" s="27"/>
      <c r="M265" s="27"/>
      <c r="N265" s="27"/>
      <c r="O265" s="27"/>
      <c r="P265" s="27"/>
      <c r="Q265" s="4"/>
      <c r="R265" s="4"/>
      <c r="S265" s="4"/>
      <c r="T265" s="4"/>
      <c r="U265" s="4"/>
      <c r="V265" s="4"/>
      <c r="W265" s="27"/>
      <c r="X265" s="27"/>
      <c r="Y265" s="27"/>
      <c r="Z265" s="4"/>
      <c r="AA265" s="4"/>
      <c r="AB265" s="27"/>
      <c r="AC265" s="27"/>
      <c r="AD265" s="10"/>
      <c r="AE265" s="4"/>
      <c r="AF265" s="4"/>
      <c r="AG265" s="4"/>
      <c r="AH265" s="4"/>
      <c r="AI265" s="4"/>
      <c r="AJ265" s="4"/>
      <c r="AK265" s="4"/>
      <c r="AL265" s="4"/>
      <c r="AM265" s="4"/>
      <c r="AN265" s="17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27"/>
      <c r="BA265" s="4"/>
      <c r="BB265" s="4"/>
      <c r="BC265" s="4"/>
      <c r="BD265" s="4"/>
      <c r="BE265" s="4"/>
      <c r="BF265" s="27"/>
      <c r="BG265" s="27"/>
      <c r="BH265" s="4"/>
      <c r="BI265" s="4"/>
      <c r="BJ265" s="5">
        <f t="shared" si="9"/>
        <v>0</v>
      </c>
      <c r="BK265" s="42" t="s">
        <v>131</v>
      </c>
      <c r="BL265" s="42"/>
      <c r="BM265" s="51"/>
      <c r="BO265" s="8"/>
    </row>
    <row r="266" spans="1:67" s="8" customFormat="1" ht="11.25" hidden="1">
      <c r="A266" s="44"/>
      <c r="B266" s="8" t="s">
        <v>87</v>
      </c>
      <c r="C266" s="8" t="s">
        <v>88</v>
      </c>
      <c r="D266" s="21" t="s">
        <v>132</v>
      </c>
      <c r="E266" s="28"/>
      <c r="F266" s="28"/>
      <c r="G266" s="5"/>
      <c r="H266" s="34"/>
      <c r="I266" s="28"/>
      <c r="J266" s="28"/>
      <c r="K266" s="28"/>
      <c r="L266" s="28"/>
      <c r="M266" s="28"/>
      <c r="N266" s="28"/>
      <c r="O266" s="28"/>
      <c r="P266" s="28"/>
      <c r="Q266" s="5"/>
      <c r="R266" s="5"/>
      <c r="S266" s="5"/>
      <c r="T266" s="5"/>
      <c r="U266" s="5"/>
      <c r="V266" s="5"/>
      <c r="W266" s="28"/>
      <c r="X266" s="28"/>
      <c r="Y266" s="28"/>
      <c r="Z266" s="5"/>
      <c r="AA266" s="5"/>
      <c r="AB266" s="28"/>
      <c r="AC266" s="28"/>
      <c r="AD266" s="11"/>
      <c r="AE266" s="5"/>
      <c r="AF266" s="5"/>
      <c r="AG266" s="5"/>
      <c r="AH266" s="5"/>
      <c r="AI266" s="5"/>
      <c r="AJ266" s="5"/>
      <c r="AK266" s="5"/>
      <c r="AL266" s="5"/>
      <c r="AM266" s="5"/>
      <c r="AN266" s="17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28"/>
      <c r="BA266" s="5"/>
      <c r="BB266" s="5"/>
      <c r="BC266" s="5"/>
      <c r="BD266" s="5"/>
      <c r="BE266" s="5"/>
      <c r="BF266" s="28"/>
      <c r="BG266" s="28"/>
      <c r="BH266" s="5"/>
      <c r="BI266" s="5"/>
      <c r="BJ266" s="5">
        <f t="shared" si="9"/>
        <v>0</v>
      </c>
      <c r="BK266" s="42" t="s">
        <v>132</v>
      </c>
      <c r="BL266" s="42"/>
      <c r="BM266" s="13"/>
      <c r="BO266" s="9"/>
    </row>
    <row r="267" spans="1:67" s="8" customFormat="1" ht="11.25">
      <c r="A267" s="44" t="s">
        <v>259</v>
      </c>
      <c r="B267" s="9" t="str">
        <f>"OLLÓ (PAPÍRVÁGÓ)"</f>
        <v>OLLÓ (PAPÍRVÁGÓ)</v>
      </c>
      <c r="C267" s="9" t="str">
        <f>"21CM"</f>
        <v>21CM</v>
      </c>
      <c r="D267" s="21" t="s">
        <v>22</v>
      </c>
      <c r="E267" s="28"/>
      <c r="F267" s="28">
        <v>2</v>
      </c>
      <c r="G267" s="5"/>
      <c r="H267" s="34"/>
      <c r="I267" s="28"/>
      <c r="J267" s="28"/>
      <c r="K267" s="28"/>
      <c r="L267" s="28"/>
      <c r="M267" s="28"/>
      <c r="N267" s="28"/>
      <c r="O267" s="28"/>
      <c r="P267" s="28"/>
      <c r="Q267" s="5"/>
      <c r="R267" s="5"/>
      <c r="S267" s="5"/>
      <c r="T267" s="5"/>
      <c r="U267" s="5"/>
      <c r="V267" s="5"/>
      <c r="W267" s="28"/>
      <c r="X267" s="28"/>
      <c r="Y267" s="28"/>
      <c r="Z267" s="5"/>
      <c r="AA267" s="5"/>
      <c r="AB267" s="28"/>
      <c r="AC267" s="28"/>
      <c r="AD267" s="11"/>
      <c r="AE267" s="5"/>
      <c r="AF267" s="5"/>
      <c r="AG267" s="5"/>
      <c r="AH267" s="5"/>
      <c r="AI267" s="5"/>
      <c r="AJ267" s="5"/>
      <c r="AK267" s="5"/>
      <c r="AL267" s="5"/>
      <c r="AM267" s="5"/>
      <c r="AN267" s="17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28"/>
      <c r="BA267" s="5"/>
      <c r="BB267" s="5"/>
      <c r="BC267" s="5"/>
      <c r="BD267" s="5"/>
      <c r="BE267" s="5"/>
      <c r="BF267" s="28"/>
      <c r="BG267" s="28"/>
      <c r="BH267" s="5"/>
      <c r="BI267" s="5"/>
      <c r="BJ267" s="5">
        <f t="shared" si="9"/>
        <v>2</v>
      </c>
      <c r="BK267" s="42" t="s">
        <v>22</v>
      </c>
      <c r="BL267" s="42"/>
      <c r="BM267" s="13"/>
      <c r="BO267" s="9"/>
    </row>
    <row r="268" spans="1:65" s="8" customFormat="1" ht="11.25">
      <c r="A268" s="44" t="s">
        <v>260</v>
      </c>
      <c r="B268" s="8" t="s">
        <v>128</v>
      </c>
      <c r="C268" s="8" t="s">
        <v>88</v>
      </c>
      <c r="D268" s="21" t="s">
        <v>80</v>
      </c>
      <c r="E268" s="28"/>
      <c r="F268" s="28"/>
      <c r="G268" s="5"/>
      <c r="H268" s="34"/>
      <c r="I268" s="28"/>
      <c r="J268" s="28"/>
      <c r="K268" s="28"/>
      <c r="L268" s="28"/>
      <c r="M268" s="28"/>
      <c r="N268" s="28"/>
      <c r="O268" s="28"/>
      <c r="P268" s="28"/>
      <c r="Q268" s="5"/>
      <c r="R268" s="5"/>
      <c r="S268" s="5"/>
      <c r="T268" s="5"/>
      <c r="U268" s="5"/>
      <c r="V268" s="5"/>
      <c r="W268" s="28"/>
      <c r="X268" s="28">
        <v>1</v>
      </c>
      <c r="Y268" s="28"/>
      <c r="Z268" s="5"/>
      <c r="AA268" s="5"/>
      <c r="AB268" s="28"/>
      <c r="AC268" s="28"/>
      <c r="AD268" s="11"/>
      <c r="AE268" s="5"/>
      <c r="AF268" s="5"/>
      <c r="AG268" s="5"/>
      <c r="AH268" s="5"/>
      <c r="AI268" s="5"/>
      <c r="AJ268" s="5"/>
      <c r="AK268" s="5"/>
      <c r="AL268" s="5"/>
      <c r="AM268" s="5"/>
      <c r="AN268" s="17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28"/>
      <c r="BA268" s="5"/>
      <c r="BB268" s="5"/>
      <c r="BC268" s="5"/>
      <c r="BD268" s="5"/>
      <c r="BE268" s="5"/>
      <c r="BF268" s="28"/>
      <c r="BG268" s="28"/>
      <c r="BH268" s="5"/>
      <c r="BI268" s="5"/>
      <c r="BJ268" s="5">
        <f t="shared" si="9"/>
        <v>1</v>
      </c>
      <c r="BK268" s="42" t="s">
        <v>80</v>
      </c>
      <c r="BL268" s="42"/>
      <c r="BM268" s="13"/>
    </row>
    <row r="269" spans="1:65" s="8" customFormat="1" ht="11.25">
      <c r="A269" s="44" t="s">
        <v>261</v>
      </c>
      <c r="B269" s="9" t="str">
        <f>"RADÍR"</f>
        <v>RADÍR</v>
      </c>
      <c r="C269" s="9" t="str">
        <f>"TIKKY 20"</f>
        <v>TIKKY 20</v>
      </c>
      <c r="D269" s="21" t="s">
        <v>22</v>
      </c>
      <c r="E269" s="28">
        <v>2</v>
      </c>
      <c r="F269" s="28">
        <v>2</v>
      </c>
      <c r="G269" s="5"/>
      <c r="H269" s="34"/>
      <c r="I269" s="28"/>
      <c r="J269" s="28"/>
      <c r="K269" s="28"/>
      <c r="L269" s="28"/>
      <c r="M269" s="28"/>
      <c r="N269" s="28"/>
      <c r="O269" s="28"/>
      <c r="P269" s="28"/>
      <c r="Q269" s="5"/>
      <c r="R269" s="5"/>
      <c r="S269" s="5"/>
      <c r="T269" s="5"/>
      <c r="U269" s="5"/>
      <c r="V269" s="5"/>
      <c r="W269" s="28"/>
      <c r="X269" s="28"/>
      <c r="Y269" s="28"/>
      <c r="Z269" s="5"/>
      <c r="AA269" s="5"/>
      <c r="AB269" s="28"/>
      <c r="AC269" s="28"/>
      <c r="AD269" s="11"/>
      <c r="AE269" s="5"/>
      <c r="AF269" s="5"/>
      <c r="AG269" s="5"/>
      <c r="AH269" s="5"/>
      <c r="AI269" s="5"/>
      <c r="AJ269" s="5"/>
      <c r="AK269" s="5"/>
      <c r="AL269" s="5"/>
      <c r="AM269" s="5"/>
      <c r="AN269" s="17"/>
      <c r="AO269" s="5"/>
      <c r="AP269" s="5"/>
      <c r="AQ269" s="5"/>
      <c r="AR269" s="5"/>
      <c r="AS269" s="5">
        <v>1</v>
      </c>
      <c r="AT269" s="5"/>
      <c r="AU269" s="5"/>
      <c r="AV269" s="5"/>
      <c r="AW269" s="5"/>
      <c r="AX269" s="5">
        <v>2</v>
      </c>
      <c r="AY269" s="5">
        <v>2</v>
      </c>
      <c r="AZ269" s="28"/>
      <c r="BA269" s="5"/>
      <c r="BB269" s="5"/>
      <c r="BC269" s="5"/>
      <c r="BD269" s="5"/>
      <c r="BE269" s="5"/>
      <c r="BF269" s="28"/>
      <c r="BG269" s="28"/>
      <c r="BH269" s="5"/>
      <c r="BI269" s="5"/>
      <c r="BJ269" s="5">
        <f t="shared" si="9"/>
        <v>9</v>
      </c>
      <c r="BK269" s="42" t="s">
        <v>22</v>
      </c>
      <c r="BL269" s="42"/>
      <c r="BM269" s="13"/>
    </row>
    <row r="270" spans="1:67" s="9" customFormat="1" ht="11.25">
      <c r="A270" s="43" t="s">
        <v>262</v>
      </c>
      <c r="B270" s="9" t="s">
        <v>155</v>
      </c>
      <c r="D270" s="21" t="s">
        <v>22</v>
      </c>
      <c r="E270" s="28"/>
      <c r="F270" s="28">
        <v>4</v>
      </c>
      <c r="G270" s="5"/>
      <c r="H270" s="34"/>
      <c r="I270" s="28"/>
      <c r="J270" s="28"/>
      <c r="K270" s="28"/>
      <c r="L270" s="28"/>
      <c r="M270" s="28"/>
      <c r="N270" s="28">
        <v>2</v>
      </c>
      <c r="O270" s="28"/>
      <c r="P270" s="28"/>
      <c r="Q270" s="5"/>
      <c r="R270" s="5"/>
      <c r="S270" s="5"/>
      <c r="T270" s="5"/>
      <c r="U270" s="5"/>
      <c r="V270" s="5"/>
      <c r="W270" s="28"/>
      <c r="X270" s="28"/>
      <c r="Y270" s="28"/>
      <c r="Z270" s="5"/>
      <c r="AA270" s="5"/>
      <c r="AB270" s="28"/>
      <c r="AC270" s="28"/>
      <c r="AD270" s="11"/>
      <c r="AE270" s="5"/>
      <c r="AF270" s="5"/>
      <c r="AG270" s="5"/>
      <c r="AH270" s="5"/>
      <c r="AI270" s="5"/>
      <c r="AJ270" s="5"/>
      <c r="AK270" s="5"/>
      <c r="AL270" s="5"/>
      <c r="AM270" s="5"/>
      <c r="AN270" s="17"/>
      <c r="AO270" s="5"/>
      <c r="AP270" s="5"/>
      <c r="AQ270" s="5"/>
      <c r="AR270" s="5"/>
      <c r="AS270" s="5"/>
      <c r="AT270" s="5"/>
      <c r="AU270" s="5">
        <v>1</v>
      </c>
      <c r="AV270" s="5">
        <v>1</v>
      </c>
      <c r="AW270" s="5"/>
      <c r="AX270" s="5"/>
      <c r="AY270" s="5"/>
      <c r="AZ270" s="28"/>
      <c r="BA270" s="5"/>
      <c r="BB270" s="5"/>
      <c r="BC270" s="5"/>
      <c r="BD270" s="5"/>
      <c r="BE270" s="5"/>
      <c r="BF270" s="28"/>
      <c r="BG270" s="28"/>
      <c r="BH270" s="5"/>
      <c r="BI270" s="5"/>
      <c r="BJ270" s="5">
        <f t="shared" si="9"/>
        <v>8</v>
      </c>
      <c r="BK270" s="42" t="s">
        <v>22</v>
      </c>
      <c r="BL270" s="42"/>
      <c r="BM270" s="51"/>
      <c r="BO270" s="8"/>
    </row>
    <row r="271" spans="1:65" s="8" customFormat="1" ht="11.25" hidden="1">
      <c r="A271" s="44"/>
      <c r="B271" s="9" t="str">
        <f>"TÁBLATŰ"</f>
        <v>TÁBLATŰ</v>
      </c>
      <c r="C271" s="9"/>
      <c r="D271" s="21"/>
      <c r="E271" s="28"/>
      <c r="F271" s="28"/>
      <c r="G271" s="5"/>
      <c r="H271" s="34"/>
      <c r="I271" s="28"/>
      <c r="J271" s="28"/>
      <c r="K271" s="28"/>
      <c r="L271" s="28"/>
      <c r="M271" s="28"/>
      <c r="N271" s="28"/>
      <c r="O271" s="28"/>
      <c r="P271" s="28"/>
      <c r="Q271" s="5"/>
      <c r="R271" s="5"/>
      <c r="S271" s="5"/>
      <c r="T271" s="5"/>
      <c r="U271" s="5"/>
      <c r="V271" s="5"/>
      <c r="W271" s="28"/>
      <c r="X271" s="28"/>
      <c r="Y271" s="28"/>
      <c r="Z271" s="5"/>
      <c r="AA271" s="5"/>
      <c r="AB271" s="28"/>
      <c r="AC271" s="28"/>
      <c r="AD271" s="11"/>
      <c r="AE271" s="5"/>
      <c r="AF271" s="5"/>
      <c r="AG271" s="5"/>
      <c r="AH271" s="5"/>
      <c r="AI271" s="5"/>
      <c r="AJ271" s="5"/>
      <c r="AK271" s="5"/>
      <c r="AL271" s="5"/>
      <c r="AM271" s="5"/>
      <c r="AN271" s="17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28"/>
      <c r="BA271" s="5"/>
      <c r="BB271" s="5"/>
      <c r="BC271" s="5"/>
      <c r="BD271" s="5"/>
      <c r="BE271" s="5"/>
      <c r="BF271" s="28"/>
      <c r="BG271" s="28"/>
      <c r="BH271" s="5"/>
      <c r="BI271" s="5"/>
      <c r="BJ271" s="5">
        <f t="shared" si="9"/>
        <v>0</v>
      </c>
      <c r="BK271" s="42"/>
      <c r="BL271" s="42"/>
      <c r="BM271" s="13"/>
    </row>
    <row r="272" spans="1:65" s="8" customFormat="1" ht="11.25" hidden="1">
      <c r="A272" s="44"/>
      <c r="B272" s="9" t="str">
        <f>"TASAK"</f>
        <v>TASAK</v>
      </c>
      <c r="C272" s="9"/>
      <c r="D272" s="21"/>
      <c r="E272" s="28"/>
      <c r="F272" s="28"/>
      <c r="G272" s="5"/>
      <c r="H272" s="34"/>
      <c r="I272" s="28"/>
      <c r="J272" s="28"/>
      <c r="K272" s="28"/>
      <c r="L272" s="28"/>
      <c r="M272" s="28"/>
      <c r="N272" s="28"/>
      <c r="O272" s="28"/>
      <c r="P272" s="28"/>
      <c r="Q272" s="5"/>
      <c r="R272" s="5"/>
      <c r="S272" s="5"/>
      <c r="T272" s="5"/>
      <c r="U272" s="5"/>
      <c r="V272" s="5"/>
      <c r="W272" s="28"/>
      <c r="X272" s="28"/>
      <c r="Y272" s="28"/>
      <c r="Z272" s="5"/>
      <c r="AA272" s="5"/>
      <c r="AB272" s="28"/>
      <c r="AC272" s="28"/>
      <c r="AD272" s="11"/>
      <c r="AE272" s="5"/>
      <c r="AF272" s="5"/>
      <c r="AG272" s="5"/>
      <c r="AH272" s="5"/>
      <c r="AI272" s="5"/>
      <c r="AJ272" s="5"/>
      <c r="AK272" s="5"/>
      <c r="AL272" s="5"/>
      <c r="AM272" s="5"/>
      <c r="AN272" s="17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28"/>
      <c r="BA272" s="5"/>
      <c r="BB272" s="5"/>
      <c r="BC272" s="5"/>
      <c r="BD272" s="5"/>
      <c r="BE272" s="5"/>
      <c r="BF272" s="28"/>
      <c r="BG272" s="28"/>
      <c r="BH272" s="5"/>
      <c r="BI272" s="5"/>
      <c r="BJ272" s="5">
        <f t="shared" si="9"/>
        <v>0</v>
      </c>
      <c r="BK272" s="42"/>
      <c r="BL272" s="42"/>
      <c r="BM272" s="13"/>
    </row>
    <row r="273" spans="1:65" s="8" customFormat="1" ht="11.25" hidden="1">
      <c r="A273" s="44"/>
      <c r="B273" s="9" t="str">
        <f>"TASAK (CIPZÁRAS)"</f>
        <v>TASAK (CIPZÁRAS)</v>
      </c>
      <c r="C273" s="9" t="str">
        <f>"A/4"</f>
        <v>A/4</v>
      </c>
      <c r="D273" s="21"/>
      <c r="E273" s="28"/>
      <c r="F273" s="28"/>
      <c r="G273" s="5"/>
      <c r="H273" s="34"/>
      <c r="I273" s="28"/>
      <c r="J273" s="28"/>
      <c r="K273" s="28"/>
      <c r="L273" s="28"/>
      <c r="M273" s="28"/>
      <c r="N273" s="28"/>
      <c r="O273" s="28"/>
      <c r="P273" s="28"/>
      <c r="Q273" s="5"/>
      <c r="R273" s="5"/>
      <c r="S273" s="5"/>
      <c r="T273" s="5"/>
      <c r="U273" s="5"/>
      <c r="V273" s="5"/>
      <c r="W273" s="28"/>
      <c r="X273" s="28"/>
      <c r="Y273" s="28"/>
      <c r="Z273" s="5"/>
      <c r="AA273" s="5"/>
      <c r="AB273" s="28"/>
      <c r="AC273" s="28"/>
      <c r="AD273" s="11"/>
      <c r="AE273" s="5"/>
      <c r="AF273" s="5"/>
      <c r="AG273" s="5"/>
      <c r="AH273" s="5"/>
      <c r="AI273" s="5"/>
      <c r="AJ273" s="5"/>
      <c r="AK273" s="5"/>
      <c r="AL273" s="5"/>
      <c r="AM273" s="5"/>
      <c r="AN273" s="17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28"/>
      <c r="BA273" s="5"/>
      <c r="BB273" s="5"/>
      <c r="BC273" s="5"/>
      <c r="BD273" s="5"/>
      <c r="BE273" s="5"/>
      <c r="BF273" s="28"/>
      <c r="BG273" s="28"/>
      <c r="BH273" s="5"/>
      <c r="BI273" s="5"/>
      <c r="BJ273" s="5">
        <f t="shared" si="9"/>
        <v>0</v>
      </c>
      <c r="BK273" s="42"/>
      <c r="BL273" s="42"/>
      <c r="BM273" s="13"/>
    </row>
    <row r="274" spans="1:67" s="8" customFormat="1" ht="11.25" hidden="1">
      <c r="A274" s="44"/>
      <c r="B274" s="9" t="str">
        <f>"TASAK (CIPZÁRAS)"</f>
        <v>TASAK (CIPZÁRAS)</v>
      </c>
      <c r="C274" s="9" t="str">
        <f>"A/5"</f>
        <v>A/5</v>
      </c>
      <c r="D274" s="21"/>
      <c r="E274" s="28"/>
      <c r="F274" s="28"/>
      <c r="G274" s="5"/>
      <c r="H274" s="34"/>
      <c r="I274" s="28"/>
      <c r="J274" s="28"/>
      <c r="K274" s="28"/>
      <c r="L274" s="28"/>
      <c r="M274" s="28"/>
      <c r="N274" s="28"/>
      <c r="O274" s="28"/>
      <c r="P274" s="28"/>
      <c r="Q274" s="5"/>
      <c r="R274" s="5"/>
      <c r="S274" s="5"/>
      <c r="T274" s="5"/>
      <c r="U274" s="5"/>
      <c r="V274" s="5"/>
      <c r="W274" s="28"/>
      <c r="X274" s="28"/>
      <c r="Y274" s="28"/>
      <c r="Z274" s="5"/>
      <c r="AA274" s="5"/>
      <c r="AB274" s="28"/>
      <c r="AC274" s="28"/>
      <c r="AD274" s="11"/>
      <c r="AE274" s="5"/>
      <c r="AF274" s="5"/>
      <c r="AG274" s="5"/>
      <c r="AH274" s="5"/>
      <c r="AI274" s="5"/>
      <c r="AJ274" s="5"/>
      <c r="AK274" s="5"/>
      <c r="AL274" s="5"/>
      <c r="AM274" s="5"/>
      <c r="AN274" s="17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28"/>
      <c r="BA274" s="5"/>
      <c r="BB274" s="5"/>
      <c r="BC274" s="5"/>
      <c r="BD274" s="5"/>
      <c r="BE274" s="5"/>
      <c r="BF274" s="28"/>
      <c r="BG274" s="28"/>
      <c r="BH274" s="5"/>
      <c r="BI274" s="5"/>
      <c r="BJ274" s="5">
        <f t="shared" si="9"/>
        <v>0</v>
      </c>
      <c r="BK274" s="42"/>
      <c r="BL274" s="42"/>
      <c r="BM274" s="13"/>
      <c r="BO274" s="9"/>
    </row>
    <row r="275" spans="1:67" s="9" customFormat="1" ht="11.25" hidden="1">
      <c r="A275" s="43"/>
      <c r="B275" s="9" t="str">
        <f>"TB NAPTÁR"</f>
        <v>TB NAPTÁR</v>
      </c>
      <c r="D275" s="17"/>
      <c r="E275" s="27"/>
      <c r="F275" s="27"/>
      <c r="G275" s="4"/>
      <c r="H275" s="34"/>
      <c r="I275" s="27"/>
      <c r="J275" s="27"/>
      <c r="K275" s="27"/>
      <c r="L275" s="27"/>
      <c r="M275" s="27"/>
      <c r="N275" s="27"/>
      <c r="O275" s="27"/>
      <c r="P275" s="27"/>
      <c r="Q275" s="4"/>
      <c r="R275" s="4"/>
      <c r="S275" s="4"/>
      <c r="T275" s="4"/>
      <c r="U275" s="4"/>
      <c r="V275" s="4"/>
      <c r="W275" s="27"/>
      <c r="X275" s="27"/>
      <c r="Y275" s="27"/>
      <c r="Z275" s="4"/>
      <c r="AA275" s="4"/>
      <c r="AB275" s="27"/>
      <c r="AC275" s="27"/>
      <c r="AD275" s="10"/>
      <c r="AE275" s="4"/>
      <c r="AF275" s="4"/>
      <c r="AG275" s="4"/>
      <c r="AH275" s="4"/>
      <c r="AI275" s="4"/>
      <c r="AJ275" s="4"/>
      <c r="AK275" s="4"/>
      <c r="AL275" s="4"/>
      <c r="AM275" s="4"/>
      <c r="AN275" s="17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27"/>
      <c r="BA275" s="4"/>
      <c r="BB275" s="4"/>
      <c r="BC275" s="4"/>
      <c r="BD275" s="4"/>
      <c r="BE275" s="4"/>
      <c r="BF275" s="27"/>
      <c r="BG275" s="27"/>
      <c r="BH275" s="4"/>
      <c r="BI275" s="4"/>
      <c r="BJ275" s="5">
        <f t="shared" si="9"/>
        <v>0</v>
      </c>
      <c r="BK275" s="41"/>
      <c r="BL275" s="41"/>
      <c r="BM275" s="51"/>
      <c r="BO275" s="8"/>
    </row>
    <row r="276" spans="1:65" s="8" customFormat="1" ht="11.25" hidden="1">
      <c r="A276" s="44"/>
      <c r="B276" s="9" t="str">
        <f>"TELEFONBLOKK"</f>
        <v>TELEFONBLOKK</v>
      </c>
      <c r="C276" s="9"/>
      <c r="D276" s="21"/>
      <c r="E276" s="28"/>
      <c r="F276" s="28"/>
      <c r="G276" s="5"/>
      <c r="H276" s="34"/>
      <c r="I276" s="28"/>
      <c r="J276" s="28"/>
      <c r="K276" s="28"/>
      <c r="L276" s="28"/>
      <c r="M276" s="28"/>
      <c r="N276" s="28"/>
      <c r="O276" s="28"/>
      <c r="P276" s="28"/>
      <c r="Q276" s="5"/>
      <c r="R276" s="5"/>
      <c r="S276" s="5"/>
      <c r="T276" s="5"/>
      <c r="U276" s="5"/>
      <c r="V276" s="5"/>
      <c r="W276" s="28"/>
      <c r="X276" s="28"/>
      <c r="Y276" s="28"/>
      <c r="Z276" s="5"/>
      <c r="AA276" s="5"/>
      <c r="AB276" s="28"/>
      <c r="AC276" s="28"/>
      <c r="AD276" s="11"/>
      <c r="AE276" s="5"/>
      <c r="AF276" s="5"/>
      <c r="AG276" s="5"/>
      <c r="AH276" s="5"/>
      <c r="AI276" s="5"/>
      <c r="AJ276" s="5"/>
      <c r="AK276" s="5"/>
      <c r="AL276" s="5"/>
      <c r="AM276" s="5"/>
      <c r="AN276" s="17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28"/>
      <c r="BA276" s="5"/>
      <c r="BB276" s="5"/>
      <c r="BC276" s="5"/>
      <c r="BD276" s="5"/>
      <c r="BE276" s="5"/>
      <c r="BF276" s="28"/>
      <c r="BG276" s="28"/>
      <c r="BH276" s="5"/>
      <c r="BI276" s="5"/>
      <c r="BJ276" s="5">
        <f t="shared" si="9"/>
        <v>0</v>
      </c>
      <c r="BK276" s="42"/>
      <c r="BL276" s="42"/>
      <c r="BM276" s="13"/>
    </row>
    <row r="277" spans="1:65" s="8" customFormat="1" ht="11.25" hidden="1">
      <c r="A277" s="44"/>
      <c r="B277" s="9" t="str">
        <f>"TÉPŐTÖMB (FEHÉR)"</f>
        <v>TÉPŐTÖMB (FEHÉR)</v>
      </c>
      <c r="C277" s="9" t="str">
        <f>"009X009 CM"</f>
        <v>009X009 CM</v>
      </c>
      <c r="D277" s="21"/>
      <c r="E277" s="28"/>
      <c r="F277" s="28"/>
      <c r="G277" s="5"/>
      <c r="H277" s="34"/>
      <c r="I277" s="28"/>
      <c r="J277" s="28"/>
      <c r="K277" s="28"/>
      <c r="L277" s="28"/>
      <c r="M277" s="28"/>
      <c r="N277" s="28"/>
      <c r="O277" s="28"/>
      <c r="P277" s="28"/>
      <c r="Q277" s="5"/>
      <c r="R277" s="5"/>
      <c r="S277" s="5"/>
      <c r="T277" s="5"/>
      <c r="U277" s="5"/>
      <c r="V277" s="5"/>
      <c r="W277" s="28"/>
      <c r="X277" s="28"/>
      <c r="Y277" s="28"/>
      <c r="Z277" s="5"/>
      <c r="AA277" s="5"/>
      <c r="AB277" s="28"/>
      <c r="AC277" s="28"/>
      <c r="AD277" s="11"/>
      <c r="AE277" s="5"/>
      <c r="AF277" s="5"/>
      <c r="AG277" s="5"/>
      <c r="AH277" s="5"/>
      <c r="AI277" s="5"/>
      <c r="AJ277" s="5"/>
      <c r="AK277" s="5"/>
      <c r="AL277" s="5"/>
      <c r="AM277" s="5"/>
      <c r="AN277" s="17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28"/>
      <c r="BA277" s="5"/>
      <c r="BB277" s="5"/>
      <c r="BC277" s="5"/>
      <c r="BD277" s="5"/>
      <c r="BE277" s="5"/>
      <c r="BF277" s="28"/>
      <c r="BG277" s="28"/>
      <c r="BH277" s="5"/>
      <c r="BI277" s="5"/>
      <c r="BJ277" s="5">
        <f t="shared" si="9"/>
        <v>0</v>
      </c>
      <c r="BK277" s="42"/>
      <c r="BL277" s="42"/>
      <c r="BM277" s="13"/>
    </row>
    <row r="278" spans="1:65" s="8" customFormat="1" ht="11.25">
      <c r="A278" s="44" t="s">
        <v>263</v>
      </c>
      <c r="B278" s="9" t="str">
        <f>"RAGASZTÓ STIFT"</f>
        <v>RAGASZTÓ STIFT</v>
      </c>
      <c r="C278" s="9" t="str">
        <f>"STANDARD"</f>
        <v>STANDARD</v>
      </c>
      <c r="D278" s="21" t="s">
        <v>22</v>
      </c>
      <c r="E278" s="27">
        <v>1</v>
      </c>
      <c r="F278" s="27">
        <v>2</v>
      </c>
      <c r="G278" s="4"/>
      <c r="H278" s="34"/>
      <c r="I278" s="27"/>
      <c r="J278" s="27"/>
      <c r="K278" s="27"/>
      <c r="L278" s="27"/>
      <c r="M278" s="27"/>
      <c r="N278" s="27"/>
      <c r="O278" s="27"/>
      <c r="P278" s="27"/>
      <c r="Q278" s="4"/>
      <c r="R278" s="4"/>
      <c r="S278" s="4"/>
      <c r="T278" s="4"/>
      <c r="U278" s="4"/>
      <c r="V278" s="4"/>
      <c r="W278" s="27"/>
      <c r="X278" s="27"/>
      <c r="Y278" s="27"/>
      <c r="Z278" s="4">
        <v>1</v>
      </c>
      <c r="AA278" s="4"/>
      <c r="AB278" s="27">
        <v>1</v>
      </c>
      <c r="AC278" s="27"/>
      <c r="AD278" s="10"/>
      <c r="AE278" s="4"/>
      <c r="AF278" s="4"/>
      <c r="AG278" s="4"/>
      <c r="AH278" s="4"/>
      <c r="AI278" s="4"/>
      <c r="AJ278" s="4"/>
      <c r="AK278" s="4"/>
      <c r="AL278" s="4"/>
      <c r="AM278" s="4"/>
      <c r="AN278" s="17"/>
      <c r="AO278" s="4"/>
      <c r="AP278" s="4"/>
      <c r="AQ278" s="4"/>
      <c r="AR278" s="4"/>
      <c r="AS278" s="4">
        <v>1</v>
      </c>
      <c r="AT278" s="4">
        <v>1</v>
      </c>
      <c r="AU278" s="4"/>
      <c r="AV278" s="4"/>
      <c r="AW278" s="4"/>
      <c r="AX278" s="4">
        <v>1</v>
      </c>
      <c r="AY278" s="4">
        <v>1</v>
      </c>
      <c r="AZ278" s="27"/>
      <c r="BA278" s="4"/>
      <c r="BB278" s="4"/>
      <c r="BC278" s="4"/>
      <c r="BD278" s="4"/>
      <c r="BE278" s="4"/>
      <c r="BF278" s="27"/>
      <c r="BG278" s="27"/>
      <c r="BH278" s="4"/>
      <c r="BI278" s="4"/>
      <c r="BJ278" s="5">
        <f t="shared" si="9"/>
        <v>9</v>
      </c>
      <c r="BK278" s="42" t="s">
        <v>22</v>
      </c>
      <c r="BL278" s="42"/>
      <c r="BM278" s="13"/>
    </row>
    <row r="279" spans="1:65" s="8" customFormat="1" ht="11.25">
      <c r="A279" s="44" t="s">
        <v>264</v>
      </c>
      <c r="B279" s="9" t="str">
        <f>"RAGASZTÓ SZALAG (CELLUX)"</f>
        <v>RAGASZTÓ SZALAG (CELLUX)</v>
      </c>
      <c r="C279" s="9" t="str">
        <f>"KIS TEKERCS"</f>
        <v>KIS TEKERCS</v>
      </c>
      <c r="D279" s="21" t="s">
        <v>22</v>
      </c>
      <c r="E279" s="28"/>
      <c r="F279" s="28"/>
      <c r="G279" s="5">
        <v>10</v>
      </c>
      <c r="H279" s="34"/>
      <c r="I279" s="28"/>
      <c r="J279" s="28"/>
      <c r="K279" s="28"/>
      <c r="L279" s="28"/>
      <c r="M279" s="28"/>
      <c r="N279" s="28"/>
      <c r="O279" s="28">
        <v>5</v>
      </c>
      <c r="P279" s="28"/>
      <c r="Q279" s="5"/>
      <c r="R279" s="5"/>
      <c r="S279" s="5"/>
      <c r="T279" s="5"/>
      <c r="U279" s="5"/>
      <c r="V279" s="5"/>
      <c r="W279" s="28"/>
      <c r="X279" s="28">
        <v>2</v>
      </c>
      <c r="Y279" s="28"/>
      <c r="Z279" s="5"/>
      <c r="AA279" s="5"/>
      <c r="AB279" s="28"/>
      <c r="AC279" s="28"/>
      <c r="AD279" s="11"/>
      <c r="AE279" s="5"/>
      <c r="AF279" s="5"/>
      <c r="AG279" s="5"/>
      <c r="AH279" s="5"/>
      <c r="AI279" s="5"/>
      <c r="AJ279" s="5"/>
      <c r="AK279" s="5"/>
      <c r="AL279" s="5"/>
      <c r="AM279" s="5"/>
      <c r="AN279" s="17"/>
      <c r="AO279" s="5"/>
      <c r="AP279" s="5"/>
      <c r="AQ279" s="5"/>
      <c r="AR279" s="5"/>
      <c r="AS279" s="5">
        <v>3</v>
      </c>
      <c r="AT279" s="5"/>
      <c r="AU279" s="5">
        <v>1</v>
      </c>
      <c r="AV279" s="5">
        <v>5</v>
      </c>
      <c r="AW279" s="5"/>
      <c r="AX279" s="5"/>
      <c r="AY279" s="5"/>
      <c r="AZ279" s="28"/>
      <c r="BA279" s="5"/>
      <c r="BB279" s="5"/>
      <c r="BC279" s="5"/>
      <c r="BD279" s="5"/>
      <c r="BE279" s="5"/>
      <c r="BF279" s="28"/>
      <c r="BG279" s="28"/>
      <c r="BH279" s="5"/>
      <c r="BI279" s="5"/>
      <c r="BJ279" s="5">
        <f t="shared" si="9"/>
        <v>26</v>
      </c>
      <c r="BK279" s="42" t="s">
        <v>22</v>
      </c>
      <c r="BL279" s="42"/>
      <c r="BM279" s="13"/>
    </row>
    <row r="280" spans="1:65" s="8" customFormat="1" ht="11.25" hidden="1">
      <c r="A280" s="44"/>
      <c r="B280" s="9" t="s">
        <v>17</v>
      </c>
      <c r="C280" s="9" t="str">
        <f>"051X038 MM"</f>
        <v>051X038 MM</v>
      </c>
      <c r="D280" s="21" t="s">
        <v>22</v>
      </c>
      <c r="E280" s="28"/>
      <c r="F280" s="28"/>
      <c r="G280" s="5"/>
      <c r="H280" s="34"/>
      <c r="I280" s="28"/>
      <c r="J280" s="28"/>
      <c r="K280" s="28"/>
      <c r="L280" s="28"/>
      <c r="M280" s="28"/>
      <c r="N280" s="28"/>
      <c r="O280" s="28"/>
      <c r="P280" s="28"/>
      <c r="Q280" s="5"/>
      <c r="R280" s="5"/>
      <c r="S280" s="5"/>
      <c r="T280" s="5"/>
      <c r="U280" s="5"/>
      <c r="V280" s="5"/>
      <c r="W280" s="28"/>
      <c r="X280" s="28"/>
      <c r="Y280" s="28"/>
      <c r="Z280" s="5"/>
      <c r="AA280" s="5"/>
      <c r="AB280" s="28"/>
      <c r="AC280" s="28"/>
      <c r="AD280" s="11"/>
      <c r="AE280" s="5"/>
      <c r="AF280" s="5"/>
      <c r="AG280" s="5"/>
      <c r="AH280" s="5"/>
      <c r="AI280" s="5"/>
      <c r="AJ280" s="5"/>
      <c r="AK280" s="5"/>
      <c r="AL280" s="5"/>
      <c r="AM280" s="5"/>
      <c r="AN280" s="17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28"/>
      <c r="BA280" s="5"/>
      <c r="BB280" s="5"/>
      <c r="BC280" s="5"/>
      <c r="BD280" s="5"/>
      <c r="BE280" s="5"/>
      <c r="BF280" s="28"/>
      <c r="BG280" s="28"/>
      <c r="BH280" s="5"/>
      <c r="BI280" s="5"/>
      <c r="BJ280" s="5">
        <f t="shared" si="9"/>
        <v>0</v>
      </c>
      <c r="BK280" s="42" t="s">
        <v>22</v>
      </c>
      <c r="BL280" s="42"/>
      <c r="BM280" s="13"/>
    </row>
    <row r="281" spans="1:65" s="8" customFormat="1" ht="11.25">
      <c r="A281" s="44" t="s">
        <v>265</v>
      </c>
      <c r="B281" s="9" t="str">
        <f>"RAGASZTÓ SZALAG (CELLUX)"</f>
        <v>RAGASZTÓ SZALAG (CELLUX)</v>
      </c>
      <c r="C281" s="9" t="str">
        <f>"KÖZEPES TEKERCS"</f>
        <v>KÖZEPES TEKERCS</v>
      </c>
      <c r="D281" s="21" t="s">
        <v>22</v>
      </c>
      <c r="E281" s="28"/>
      <c r="F281" s="28">
        <v>4</v>
      </c>
      <c r="G281" s="5"/>
      <c r="H281" s="34"/>
      <c r="I281" s="28"/>
      <c r="J281" s="28"/>
      <c r="K281" s="28"/>
      <c r="L281" s="28"/>
      <c r="M281" s="28"/>
      <c r="N281" s="28">
        <v>5</v>
      </c>
      <c r="O281" s="28"/>
      <c r="P281" s="28"/>
      <c r="Q281" s="5"/>
      <c r="R281" s="5"/>
      <c r="S281" s="5"/>
      <c r="T281" s="5"/>
      <c r="U281" s="5"/>
      <c r="V281" s="5"/>
      <c r="W281" s="28"/>
      <c r="X281" s="28"/>
      <c r="Y281" s="28"/>
      <c r="Z281" s="5"/>
      <c r="AA281" s="5"/>
      <c r="AB281" s="28">
        <v>1</v>
      </c>
      <c r="AC281" s="28"/>
      <c r="AD281" s="11"/>
      <c r="AE281" s="5"/>
      <c r="AF281" s="5"/>
      <c r="AG281" s="5"/>
      <c r="AH281" s="5"/>
      <c r="AI281" s="5"/>
      <c r="AJ281" s="5"/>
      <c r="AK281" s="5"/>
      <c r="AL281" s="5"/>
      <c r="AM281" s="5"/>
      <c r="AN281" s="17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28"/>
      <c r="BA281" s="5"/>
      <c r="BB281" s="5"/>
      <c r="BC281" s="5"/>
      <c r="BD281" s="5"/>
      <c r="BE281" s="5"/>
      <c r="BF281" s="28"/>
      <c r="BG281" s="28"/>
      <c r="BH281" s="5"/>
      <c r="BI281" s="5"/>
      <c r="BJ281" s="5">
        <f t="shared" si="9"/>
        <v>10</v>
      </c>
      <c r="BK281" s="42" t="s">
        <v>22</v>
      </c>
      <c r="BL281" s="42"/>
      <c r="BM281" s="13"/>
    </row>
    <row r="282" spans="1:65" s="8" customFormat="1" ht="11.25" hidden="1">
      <c r="A282" s="44"/>
      <c r="B282" s="9" t="s">
        <v>18</v>
      </c>
      <c r="C282" s="9" t="str">
        <f>"127X075 MM"</f>
        <v>127X075 MM</v>
      </c>
      <c r="D282" s="21" t="s">
        <v>22</v>
      </c>
      <c r="E282" s="28"/>
      <c r="F282" s="28"/>
      <c r="G282" s="5"/>
      <c r="H282" s="34"/>
      <c r="I282" s="28"/>
      <c r="J282" s="28"/>
      <c r="K282" s="28"/>
      <c r="L282" s="28"/>
      <c r="M282" s="28"/>
      <c r="N282" s="28"/>
      <c r="O282" s="28"/>
      <c r="P282" s="28"/>
      <c r="Q282" s="5"/>
      <c r="R282" s="5"/>
      <c r="S282" s="5"/>
      <c r="T282" s="5"/>
      <c r="U282" s="5"/>
      <c r="V282" s="5"/>
      <c r="W282" s="28"/>
      <c r="X282" s="28"/>
      <c r="Y282" s="28"/>
      <c r="Z282" s="5"/>
      <c r="AA282" s="5"/>
      <c r="AB282" s="28"/>
      <c r="AC282" s="28"/>
      <c r="AD282" s="11"/>
      <c r="AE282" s="5"/>
      <c r="AF282" s="5"/>
      <c r="AG282" s="5"/>
      <c r="AH282" s="5"/>
      <c r="AI282" s="5"/>
      <c r="AJ282" s="5"/>
      <c r="AK282" s="5"/>
      <c r="AL282" s="5"/>
      <c r="AM282" s="5"/>
      <c r="AN282" s="17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28"/>
      <c r="BA282" s="5"/>
      <c r="BB282" s="5"/>
      <c r="BC282" s="5"/>
      <c r="BD282" s="5"/>
      <c r="BE282" s="5"/>
      <c r="BF282" s="28"/>
      <c r="BG282" s="28"/>
      <c r="BH282" s="5"/>
      <c r="BI282" s="5"/>
      <c r="BJ282" s="5">
        <f t="shared" si="9"/>
        <v>0</v>
      </c>
      <c r="BK282" s="42" t="s">
        <v>22</v>
      </c>
      <c r="BL282" s="42"/>
      <c r="BM282" s="13"/>
    </row>
    <row r="283" spans="1:65" s="8" customFormat="1" ht="11.25" hidden="1">
      <c r="A283" s="44"/>
      <c r="B283" s="9" t="str">
        <f>"TÉPŐTÖMB (SZÍNES-CSAVART)"</f>
        <v>TÉPŐTÖMB (SZÍNES-CSAVART)</v>
      </c>
      <c r="C283" s="9" t="str">
        <f>"010X010 MM"</f>
        <v>010X010 MM</v>
      </c>
      <c r="D283" s="21" t="s">
        <v>22</v>
      </c>
      <c r="E283" s="28"/>
      <c r="F283" s="28"/>
      <c r="G283" s="5"/>
      <c r="H283" s="34"/>
      <c r="I283" s="28"/>
      <c r="J283" s="28"/>
      <c r="K283" s="28"/>
      <c r="L283" s="28"/>
      <c r="M283" s="28"/>
      <c r="N283" s="28"/>
      <c r="O283" s="28"/>
      <c r="P283" s="28"/>
      <c r="Q283" s="5"/>
      <c r="R283" s="5"/>
      <c r="S283" s="5"/>
      <c r="T283" s="5"/>
      <c r="U283" s="5"/>
      <c r="V283" s="5"/>
      <c r="W283" s="28"/>
      <c r="X283" s="28"/>
      <c r="Y283" s="28"/>
      <c r="Z283" s="5"/>
      <c r="AA283" s="5"/>
      <c r="AB283" s="28"/>
      <c r="AC283" s="28"/>
      <c r="AD283" s="11"/>
      <c r="AE283" s="5"/>
      <c r="AF283" s="5"/>
      <c r="AG283" s="5"/>
      <c r="AH283" s="5"/>
      <c r="AI283" s="5"/>
      <c r="AJ283" s="5"/>
      <c r="AK283" s="5"/>
      <c r="AL283" s="5"/>
      <c r="AM283" s="5"/>
      <c r="AN283" s="17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28"/>
      <c r="BA283" s="5"/>
      <c r="BB283" s="5"/>
      <c r="BC283" s="5"/>
      <c r="BD283" s="5"/>
      <c r="BE283" s="5"/>
      <c r="BF283" s="28"/>
      <c r="BG283" s="28"/>
      <c r="BH283" s="5"/>
      <c r="BI283" s="5"/>
      <c r="BJ283" s="5">
        <f t="shared" si="9"/>
        <v>0</v>
      </c>
      <c r="BK283" s="42" t="s">
        <v>22</v>
      </c>
      <c r="BL283" s="42"/>
      <c r="BM283" s="13"/>
    </row>
    <row r="284" spans="1:67" s="8" customFormat="1" ht="11.25" hidden="1">
      <c r="A284" s="44"/>
      <c r="B284" s="9" t="str">
        <f>"TÉRKÉPTŰ"</f>
        <v>TÉRKÉPTŰ</v>
      </c>
      <c r="C284" s="9" t="str">
        <f>"SAKOTA"</f>
        <v>SAKOTA</v>
      </c>
      <c r="D284" s="21" t="s">
        <v>22</v>
      </c>
      <c r="E284" s="28"/>
      <c r="F284" s="28"/>
      <c r="G284" s="5"/>
      <c r="H284" s="34"/>
      <c r="I284" s="28"/>
      <c r="J284" s="28"/>
      <c r="K284" s="28"/>
      <c r="L284" s="28"/>
      <c r="M284" s="28"/>
      <c r="N284" s="28"/>
      <c r="O284" s="28"/>
      <c r="P284" s="28"/>
      <c r="Q284" s="5"/>
      <c r="R284" s="5"/>
      <c r="S284" s="5"/>
      <c r="T284" s="5"/>
      <c r="U284" s="5"/>
      <c r="V284" s="5"/>
      <c r="W284" s="28"/>
      <c r="X284" s="28"/>
      <c r="Y284" s="28"/>
      <c r="Z284" s="5"/>
      <c r="AA284" s="5"/>
      <c r="AB284" s="28"/>
      <c r="AC284" s="28"/>
      <c r="AD284" s="11"/>
      <c r="AE284" s="5"/>
      <c r="AF284" s="5"/>
      <c r="AG284" s="5"/>
      <c r="AH284" s="5"/>
      <c r="AI284" s="5"/>
      <c r="AJ284" s="5"/>
      <c r="AK284" s="5"/>
      <c r="AL284" s="5"/>
      <c r="AM284" s="5"/>
      <c r="AN284" s="17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28"/>
      <c r="BA284" s="5"/>
      <c r="BB284" s="5"/>
      <c r="BC284" s="5"/>
      <c r="BD284" s="5"/>
      <c r="BE284" s="5"/>
      <c r="BF284" s="28"/>
      <c r="BG284" s="28"/>
      <c r="BH284" s="5"/>
      <c r="BI284" s="5"/>
      <c r="BJ284" s="5">
        <f t="shared" si="9"/>
        <v>0</v>
      </c>
      <c r="BK284" s="42" t="s">
        <v>22</v>
      </c>
      <c r="BL284" s="42"/>
      <c r="BM284" s="13"/>
      <c r="BO284" s="9"/>
    </row>
    <row r="285" spans="1:65" s="9" customFormat="1" ht="11.25" hidden="1">
      <c r="A285" s="43"/>
      <c r="B285" s="9" t="str">
        <f>"TÖLTŐTOLL PATRON"</f>
        <v>TÖLTŐTOLL PATRON</v>
      </c>
      <c r="C285" s="9" t="str">
        <f>"PAX"</f>
        <v>PAX</v>
      </c>
      <c r="D285" s="21" t="s">
        <v>22</v>
      </c>
      <c r="E285" s="27"/>
      <c r="F285" s="27"/>
      <c r="G285" s="4"/>
      <c r="H285" s="34"/>
      <c r="I285" s="27"/>
      <c r="J285" s="27"/>
      <c r="K285" s="27"/>
      <c r="L285" s="27"/>
      <c r="M285" s="27"/>
      <c r="N285" s="27"/>
      <c r="O285" s="27"/>
      <c r="P285" s="27"/>
      <c r="Q285" s="4"/>
      <c r="R285" s="4"/>
      <c r="S285" s="4"/>
      <c r="T285" s="4"/>
      <c r="U285" s="4"/>
      <c r="V285" s="4"/>
      <c r="W285" s="27"/>
      <c r="X285" s="27"/>
      <c r="Y285" s="27"/>
      <c r="Z285" s="4"/>
      <c r="AA285" s="4"/>
      <c r="AB285" s="27"/>
      <c r="AC285" s="27"/>
      <c r="AD285" s="10"/>
      <c r="AE285" s="4"/>
      <c r="AF285" s="4"/>
      <c r="AG285" s="4"/>
      <c r="AH285" s="4"/>
      <c r="AI285" s="4"/>
      <c r="AJ285" s="4"/>
      <c r="AK285" s="4"/>
      <c r="AL285" s="4"/>
      <c r="AM285" s="4"/>
      <c r="AN285" s="17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27"/>
      <c r="BA285" s="4"/>
      <c r="BB285" s="4"/>
      <c r="BC285" s="4"/>
      <c r="BD285" s="4"/>
      <c r="BE285" s="4"/>
      <c r="BF285" s="27"/>
      <c r="BG285" s="27"/>
      <c r="BH285" s="4"/>
      <c r="BI285" s="4"/>
      <c r="BJ285" s="5">
        <f t="shared" si="9"/>
        <v>0</v>
      </c>
      <c r="BK285" s="42" t="s">
        <v>22</v>
      </c>
      <c r="BL285" s="42"/>
      <c r="BM285" s="51"/>
    </row>
    <row r="286" spans="1:67" s="9" customFormat="1" ht="11.25" hidden="1">
      <c r="A286" s="43"/>
      <c r="B286" s="9" t="str">
        <f>"TUSTINTA (ROTRING)"</f>
        <v>TUSTINTA (ROTRING)</v>
      </c>
      <c r="D286" s="21" t="s">
        <v>22</v>
      </c>
      <c r="E286" s="27"/>
      <c r="F286" s="27"/>
      <c r="G286" s="4"/>
      <c r="H286" s="34"/>
      <c r="I286" s="27"/>
      <c r="J286" s="27"/>
      <c r="K286" s="27"/>
      <c r="L286" s="27"/>
      <c r="M286" s="27"/>
      <c r="N286" s="27"/>
      <c r="O286" s="27"/>
      <c r="P286" s="27"/>
      <c r="Q286" s="4"/>
      <c r="R286" s="4"/>
      <c r="S286" s="4"/>
      <c r="T286" s="4"/>
      <c r="U286" s="4"/>
      <c r="V286" s="4"/>
      <c r="W286" s="27"/>
      <c r="X286" s="27"/>
      <c r="Y286" s="27"/>
      <c r="Z286" s="4"/>
      <c r="AA286" s="4"/>
      <c r="AB286" s="27"/>
      <c r="AC286" s="27"/>
      <c r="AD286" s="10"/>
      <c r="AE286" s="4"/>
      <c r="AF286" s="4"/>
      <c r="AG286" s="4"/>
      <c r="AH286" s="4"/>
      <c r="AI286" s="4"/>
      <c r="AJ286" s="4"/>
      <c r="AK286" s="4"/>
      <c r="AL286" s="4"/>
      <c r="AM286" s="4"/>
      <c r="AN286" s="17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27"/>
      <c r="BA286" s="4"/>
      <c r="BB286" s="4"/>
      <c r="BC286" s="4"/>
      <c r="BD286" s="4"/>
      <c r="BE286" s="4"/>
      <c r="BF286" s="27"/>
      <c r="BG286" s="27"/>
      <c r="BH286" s="4"/>
      <c r="BI286" s="4"/>
      <c r="BJ286" s="5">
        <f t="shared" si="9"/>
        <v>0</v>
      </c>
      <c r="BK286" s="42" t="s">
        <v>22</v>
      </c>
      <c r="BL286" s="42"/>
      <c r="BM286" s="51"/>
      <c r="BO286" s="8"/>
    </row>
    <row r="287" spans="1:65" s="8" customFormat="1" ht="11.25" hidden="1">
      <c r="A287" s="44"/>
      <c r="B287" s="9" t="s">
        <v>19</v>
      </c>
      <c r="C287" s="9" t="str">
        <f>"DELI NO. 0327"</f>
        <v>DELI NO. 0327</v>
      </c>
      <c r="D287" s="21" t="s">
        <v>22</v>
      </c>
      <c r="E287" s="28"/>
      <c r="F287" s="28"/>
      <c r="G287" s="5"/>
      <c r="H287" s="34"/>
      <c r="I287" s="28"/>
      <c r="J287" s="28"/>
      <c r="K287" s="28"/>
      <c r="L287" s="28"/>
      <c r="M287" s="28"/>
      <c r="N287" s="28"/>
      <c r="O287" s="28"/>
      <c r="P287" s="28"/>
      <c r="Q287" s="5"/>
      <c r="R287" s="5"/>
      <c r="S287" s="5"/>
      <c r="T287" s="5"/>
      <c r="U287" s="5"/>
      <c r="V287" s="5"/>
      <c r="W287" s="28"/>
      <c r="X287" s="28"/>
      <c r="Y287" s="28"/>
      <c r="Z287" s="5"/>
      <c r="AA287" s="5"/>
      <c r="AB287" s="28"/>
      <c r="AC287" s="28"/>
      <c r="AD287" s="11"/>
      <c r="AE287" s="5"/>
      <c r="AF287" s="5"/>
      <c r="AG287" s="5"/>
      <c r="AH287" s="5"/>
      <c r="AI287" s="5"/>
      <c r="AJ287" s="5"/>
      <c r="AK287" s="5"/>
      <c r="AL287" s="5"/>
      <c r="AM287" s="5"/>
      <c r="AN287" s="17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28"/>
      <c r="BA287" s="5"/>
      <c r="BB287" s="5"/>
      <c r="BC287" s="5"/>
      <c r="BD287" s="5"/>
      <c r="BE287" s="5"/>
      <c r="BF287" s="28"/>
      <c r="BG287" s="28"/>
      <c r="BH287" s="5"/>
      <c r="BI287" s="5"/>
      <c r="BJ287" s="5">
        <f t="shared" si="9"/>
        <v>0</v>
      </c>
      <c r="BK287" s="42" t="s">
        <v>22</v>
      </c>
      <c r="BL287" s="42"/>
      <c r="BM287" s="13"/>
    </row>
    <row r="288" spans="1:65" s="8" customFormat="1" ht="11.25">
      <c r="A288" s="44" t="s">
        <v>266</v>
      </c>
      <c r="B288" s="9" t="s">
        <v>42</v>
      </c>
      <c r="C288" s="9" t="s">
        <v>43</v>
      </c>
      <c r="D288" s="21" t="s">
        <v>22</v>
      </c>
      <c r="E288" s="28">
        <v>1</v>
      </c>
      <c r="F288" s="28">
        <v>4</v>
      </c>
      <c r="G288" s="5">
        <v>5</v>
      </c>
      <c r="H288" s="34"/>
      <c r="I288" s="28"/>
      <c r="J288" s="28">
        <v>2</v>
      </c>
      <c r="K288" s="28"/>
      <c r="L288" s="28"/>
      <c r="M288" s="28"/>
      <c r="N288" s="28"/>
      <c r="O288" s="28">
        <v>1</v>
      </c>
      <c r="P288" s="28"/>
      <c r="Q288" s="5">
        <v>1</v>
      </c>
      <c r="R288" s="5"/>
      <c r="S288" s="5"/>
      <c r="T288" s="5"/>
      <c r="U288" s="5"/>
      <c r="V288" s="5"/>
      <c r="W288" s="28"/>
      <c r="X288" s="28"/>
      <c r="Y288" s="28"/>
      <c r="Z288" s="5"/>
      <c r="AA288" s="5"/>
      <c r="AB288" s="28"/>
      <c r="AC288" s="28"/>
      <c r="AD288" s="11"/>
      <c r="AE288" s="5"/>
      <c r="AF288" s="5"/>
      <c r="AG288" s="5"/>
      <c r="AH288" s="5"/>
      <c r="AI288" s="5"/>
      <c r="AJ288" s="5"/>
      <c r="AK288" s="5"/>
      <c r="AL288" s="5"/>
      <c r="AM288" s="5"/>
      <c r="AN288" s="17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28"/>
      <c r="BA288" s="5"/>
      <c r="BB288" s="5"/>
      <c r="BC288" s="5"/>
      <c r="BD288" s="5"/>
      <c r="BE288" s="5"/>
      <c r="BF288" s="28"/>
      <c r="BG288" s="28"/>
      <c r="BH288" s="5"/>
      <c r="BI288" s="5"/>
      <c r="BJ288" s="5">
        <f t="shared" si="9"/>
        <v>14</v>
      </c>
      <c r="BK288" s="42" t="s">
        <v>22</v>
      </c>
      <c r="BL288" s="42"/>
      <c r="BM288" s="13"/>
    </row>
    <row r="289" spans="1:65" s="8" customFormat="1" ht="11.25">
      <c r="A289" s="44" t="s">
        <v>267</v>
      </c>
      <c r="B289" s="9" t="s">
        <v>121</v>
      </c>
      <c r="C289" s="9" t="s">
        <v>122</v>
      </c>
      <c r="D289" s="21" t="s">
        <v>31</v>
      </c>
      <c r="E289" s="28"/>
      <c r="F289" s="28">
        <v>4</v>
      </c>
      <c r="G289" s="5"/>
      <c r="H289" s="34"/>
      <c r="I289" s="28"/>
      <c r="J289" s="28"/>
      <c r="K289" s="28"/>
      <c r="L289" s="28"/>
      <c r="M289" s="28"/>
      <c r="N289" s="28"/>
      <c r="O289" s="28"/>
      <c r="P289" s="28"/>
      <c r="Q289" s="5"/>
      <c r="R289" s="5"/>
      <c r="S289" s="5"/>
      <c r="T289" s="5"/>
      <c r="U289" s="5"/>
      <c r="V289" s="5"/>
      <c r="W289" s="28"/>
      <c r="X289" s="28"/>
      <c r="Y289" s="28"/>
      <c r="Z289" s="5"/>
      <c r="AA289" s="5"/>
      <c r="AB289" s="28"/>
      <c r="AC289" s="28"/>
      <c r="AD289" s="11"/>
      <c r="AE289" s="5"/>
      <c r="AF289" s="5"/>
      <c r="AG289" s="5"/>
      <c r="AH289" s="5"/>
      <c r="AI289" s="5"/>
      <c r="AJ289" s="5"/>
      <c r="AK289" s="5"/>
      <c r="AL289" s="5"/>
      <c r="AM289" s="5"/>
      <c r="AN289" s="17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28"/>
      <c r="BA289" s="5"/>
      <c r="BB289" s="5"/>
      <c r="BC289" s="5"/>
      <c r="BD289" s="5"/>
      <c r="BE289" s="5"/>
      <c r="BF289" s="28"/>
      <c r="BG289" s="28"/>
      <c r="BH289" s="5">
        <v>2</v>
      </c>
      <c r="BI289" s="5"/>
      <c r="BJ289" s="5">
        <f t="shared" si="9"/>
        <v>6</v>
      </c>
      <c r="BK289" s="42" t="s">
        <v>31</v>
      </c>
      <c r="BL289" s="42"/>
      <c r="BM289" s="13"/>
    </row>
    <row r="290" spans="1:65" s="8" customFormat="1" ht="11.25">
      <c r="A290" s="44" t="s">
        <v>268</v>
      </c>
      <c r="B290" s="9" t="s">
        <v>157</v>
      </c>
      <c r="C290" s="9"/>
      <c r="D290" s="21" t="s">
        <v>22</v>
      </c>
      <c r="E290" s="28"/>
      <c r="F290" s="28">
        <v>3</v>
      </c>
      <c r="G290" s="5"/>
      <c r="H290" s="34"/>
      <c r="I290" s="28"/>
      <c r="J290" s="28"/>
      <c r="K290" s="28"/>
      <c r="L290" s="28"/>
      <c r="M290" s="28"/>
      <c r="N290" s="28"/>
      <c r="O290" s="28"/>
      <c r="P290" s="28"/>
      <c r="Q290" s="5"/>
      <c r="R290" s="5"/>
      <c r="S290" s="5"/>
      <c r="T290" s="5"/>
      <c r="U290" s="5"/>
      <c r="V290" s="5"/>
      <c r="W290" s="28"/>
      <c r="X290" s="28"/>
      <c r="Y290" s="28"/>
      <c r="Z290" s="5"/>
      <c r="AA290" s="5"/>
      <c r="AB290" s="28"/>
      <c r="AC290" s="28"/>
      <c r="AD290" s="11"/>
      <c r="AE290" s="5"/>
      <c r="AF290" s="5"/>
      <c r="AG290" s="5"/>
      <c r="AH290" s="5"/>
      <c r="AI290" s="5"/>
      <c r="AJ290" s="5"/>
      <c r="AK290" s="5"/>
      <c r="AL290" s="5"/>
      <c r="AM290" s="5"/>
      <c r="AN290" s="17"/>
      <c r="AO290" s="5"/>
      <c r="AP290" s="5"/>
      <c r="AQ290" s="5"/>
      <c r="AR290" s="5"/>
      <c r="AS290" s="5"/>
      <c r="AT290" s="5"/>
      <c r="AU290" s="5"/>
      <c r="AV290" s="5"/>
      <c r="AW290" s="5"/>
      <c r="AX290" s="5">
        <v>1</v>
      </c>
      <c r="AY290" s="5">
        <v>1</v>
      </c>
      <c r="AZ290" s="28"/>
      <c r="BA290" s="5"/>
      <c r="BB290" s="5"/>
      <c r="BC290" s="5"/>
      <c r="BD290" s="5"/>
      <c r="BE290" s="5"/>
      <c r="BF290" s="28"/>
      <c r="BG290" s="28"/>
      <c r="BH290" s="5"/>
      <c r="BI290" s="5"/>
      <c r="BJ290" s="5">
        <f t="shared" si="9"/>
        <v>5</v>
      </c>
      <c r="BK290" s="42" t="s">
        <v>22</v>
      </c>
      <c r="BL290" s="42"/>
      <c r="BM290" s="13"/>
    </row>
    <row r="291" spans="1:67" s="8" customFormat="1" ht="11.25">
      <c r="A291" s="44" t="s">
        <v>269</v>
      </c>
      <c r="B291" s="9" t="s">
        <v>34</v>
      </c>
      <c r="C291" s="9" t="str">
        <f>"100 DB-OS"</f>
        <v>100 DB-OS</v>
      </c>
      <c r="D291" s="21" t="s">
        <v>30</v>
      </c>
      <c r="E291" s="28"/>
      <c r="F291" s="28">
        <v>2</v>
      </c>
      <c r="G291" s="5"/>
      <c r="H291" s="34"/>
      <c r="I291" s="28"/>
      <c r="J291" s="28"/>
      <c r="K291" s="28"/>
      <c r="L291" s="28"/>
      <c r="M291" s="28"/>
      <c r="N291" s="28"/>
      <c r="O291" s="28"/>
      <c r="P291" s="28"/>
      <c r="Q291" s="5"/>
      <c r="R291" s="5"/>
      <c r="S291" s="5"/>
      <c r="T291" s="5"/>
      <c r="U291" s="5"/>
      <c r="V291" s="5"/>
      <c r="W291" s="28"/>
      <c r="X291" s="28"/>
      <c r="Y291" s="28"/>
      <c r="Z291" s="5"/>
      <c r="AA291" s="5"/>
      <c r="AB291" s="28"/>
      <c r="AC291" s="28"/>
      <c r="AD291" s="11"/>
      <c r="AE291" s="5"/>
      <c r="AF291" s="5"/>
      <c r="AG291" s="5"/>
      <c r="AH291" s="5"/>
      <c r="AI291" s="5"/>
      <c r="AJ291" s="5"/>
      <c r="AK291" s="5"/>
      <c r="AL291" s="5"/>
      <c r="AM291" s="5"/>
      <c r="AN291" s="17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28"/>
      <c r="BA291" s="5"/>
      <c r="BB291" s="5"/>
      <c r="BC291" s="5"/>
      <c r="BD291" s="5"/>
      <c r="BE291" s="5"/>
      <c r="BF291" s="28"/>
      <c r="BG291" s="28"/>
      <c r="BH291" s="5"/>
      <c r="BI291" s="5"/>
      <c r="BJ291" s="5">
        <f t="shared" si="9"/>
        <v>2</v>
      </c>
      <c r="BK291" s="42" t="s">
        <v>30</v>
      </c>
      <c r="BL291" s="42"/>
      <c r="BM291" s="13"/>
      <c r="BO291" s="9"/>
    </row>
    <row r="292" spans="1:65" s="8" customFormat="1" ht="11.25" hidden="1">
      <c r="A292" s="44"/>
      <c r="B292" s="9" t="s">
        <v>19</v>
      </c>
      <c r="C292" s="9" t="str">
        <f>"MAPED VIVO"</f>
        <v>MAPED VIVO</v>
      </c>
      <c r="D292" s="21"/>
      <c r="E292" s="28"/>
      <c r="F292" s="28"/>
      <c r="G292" s="5"/>
      <c r="H292" s="34"/>
      <c r="I292" s="28"/>
      <c r="J292" s="28"/>
      <c r="K292" s="28"/>
      <c r="L292" s="28"/>
      <c r="M292" s="28"/>
      <c r="N292" s="28"/>
      <c r="O292" s="28"/>
      <c r="P292" s="28"/>
      <c r="Q292" s="5"/>
      <c r="R292" s="5"/>
      <c r="S292" s="5"/>
      <c r="T292" s="5"/>
      <c r="U292" s="5"/>
      <c r="V292" s="5"/>
      <c r="W292" s="28"/>
      <c r="X292" s="28"/>
      <c r="Y292" s="28"/>
      <c r="Z292" s="5"/>
      <c r="AA292" s="5"/>
      <c r="AB292" s="28"/>
      <c r="AC292" s="28"/>
      <c r="AD292" s="11"/>
      <c r="AE292" s="5"/>
      <c r="AF292" s="5"/>
      <c r="AG292" s="5"/>
      <c r="AH292" s="5"/>
      <c r="AI292" s="5"/>
      <c r="AJ292" s="5"/>
      <c r="AK292" s="5"/>
      <c r="AL292" s="5"/>
      <c r="AM292" s="5"/>
      <c r="AN292" s="17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28"/>
      <c r="BA292" s="5"/>
      <c r="BB292" s="5"/>
      <c r="BC292" s="5"/>
      <c r="BD292" s="5"/>
      <c r="BE292" s="5"/>
      <c r="BF292" s="28"/>
      <c r="BG292" s="28"/>
      <c r="BH292" s="5"/>
      <c r="BI292" s="5"/>
      <c r="BJ292" s="5">
        <f t="shared" si="9"/>
        <v>0</v>
      </c>
      <c r="BK292" s="42"/>
      <c r="BL292" s="42"/>
      <c r="BM292" s="13"/>
    </row>
    <row r="293" spans="1:65" s="8" customFormat="1" ht="11.25" hidden="1">
      <c r="A293" s="44"/>
      <c r="B293" s="9" t="s">
        <v>19</v>
      </c>
      <c r="C293" s="9" t="str">
        <f>"REXEL ACCO"</f>
        <v>REXEL ACCO</v>
      </c>
      <c r="D293" s="21"/>
      <c r="E293" s="28"/>
      <c r="F293" s="28"/>
      <c r="G293" s="5"/>
      <c r="H293" s="34"/>
      <c r="I293" s="28"/>
      <c r="J293" s="28"/>
      <c r="K293" s="28"/>
      <c r="L293" s="28"/>
      <c r="M293" s="28"/>
      <c r="N293" s="28"/>
      <c r="O293" s="28"/>
      <c r="P293" s="28"/>
      <c r="Q293" s="5"/>
      <c r="R293" s="5"/>
      <c r="S293" s="5"/>
      <c r="T293" s="5"/>
      <c r="U293" s="5"/>
      <c r="V293" s="5"/>
      <c r="W293" s="28"/>
      <c r="X293" s="28"/>
      <c r="Y293" s="28"/>
      <c r="Z293" s="5"/>
      <c r="AA293" s="5"/>
      <c r="AB293" s="28"/>
      <c r="AC293" s="28"/>
      <c r="AD293" s="11"/>
      <c r="AE293" s="5"/>
      <c r="AF293" s="5"/>
      <c r="AG293" s="5"/>
      <c r="AH293" s="5"/>
      <c r="AI293" s="5"/>
      <c r="AJ293" s="5"/>
      <c r="AK293" s="5"/>
      <c r="AL293" s="5"/>
      <c r="AM293" s="5"/>
      <c r="AN293" s="17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28"/>
      <c r="BA293" s="5"/>
      <c r="BB293" s="5"/>
      <c r="BC293" s="5"/>
      <c r="BD293" s="5"/>
      <c r="BE293" s="5"/>
      <c r="BF293" s="28"/>
      <c r="BG293" s="28"/>
      <c r="BH293" s="5"/>
      <c r="BI293" s="5"/>
      <c r="BJ293" s="5">
        <f t="shared" si="9"/>
        <v>0</v>
      </c>
      <c r="BK293" s="42"/>
      <c r="BL293" s="42"/>
      <c r="BM293" s="13"/>
    </row>
    <row r="294" spans="1:65" s="8" customFormat="1" ht="11.25" hidden="1">
      <c r="A294" s="44"/>
      <c r="B294" s="9" t="s">
        <v>19</v>
      </c>
      <c r="C294" s="9" t="str">
        <f>"TRAPER"</f>
        <v>TRAPER</v>
      </c>
      <c r="D294" s="21"/>
      <c r="E294" s="28"/>
      <c r="F294" s="28"/>
      <c r="G294" s="5"/>
      <c r="H294" s="34"/>
      <c r="I294" s="28"/>
      <c r="J294" s="28"/>
      <c r="K294" s="28"/>
      <c r="L294" s="28"/>
      <c r="M294" s="28"/>
      <c r="N294" s="28"/>
      <c r="O294" s="28"/>
      <c r="P294" s="28"/>
      <c r="Q294" s="5"/>
      <c r="R294" s="5"/>
      <c r="S294" s="5"/>
      <c r="T294" s="5"/>
      <c r="U294" s="5"/>
      <c r="V294" s="5"/>
      <c r="W294" s="28"/>
      <c r="X294" s="28"/>
      <c r="Y294" s="28"/>
      <c r="Z294" s="5"/>
      <c r="AA294" s="5"/>
      <c r="AB294" s="28"/>
      <c r="AC294" s="28"/>
      <c r="AD294" s="11"/>
      <c r="AE294" s="5"/>
      <c r="AF294" s="5"/>
      <c r="AG294" s="5"/>
      <c r="AH294" s="5"/>
      <c r="AI294" s="5"/>
      <c r="AJ294" s="5"/>
      <c r="AK294" s="5"/>
      <c r="AL294" s="5"/>
      <c r="AM294" s="5"/>
      <c r="AN294" s="17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28"/>
      <c r="BA294" s="5"/>
      <c r="BB294" s="5"/>
      <c r="BC294" s="5"/>
      <c r="BD294" s="5"/>
      <c r="BE294" s="5"/>
      <c r="BF294" s="28"/>
      <c r="BG294" s="28"/>
      <c r="BH294" s="5"/>
      <c r="BI294" s="5"/>
      <c r="BJ294" s="5">
        <f t="shared" si="9"/>
        <v>0</v>
      </c>
      <c r="BK294" s="42"/>
      <c r="BL294" s="42"/>
      <c r="BM294" s="13"/>
    </row>
    <row r="295" spans="1:65" s="8" customFormat="1" ht="11.25" hidden="1">
      <c r="A295" s="44"/>
      <c r="B295" s="9" t="s">
        <v>19</v>
      </c>
      <c r="C295" s="9" t="s">
        <v>20</v>
      </c>
      <c r="D295" s="21"/>
      <c r="E295" s="28"/>
      <c r="F295" s="28"/>
      <c r="G295" s="5"/>
      <c r="H295" s="34"/>
      <c r="I295" s="28"/>
      <c r="J295" s="28"/>
      <c r="K295" s="28"/>
      <c r="L295" s="28"/>
      <c r="M295" s="28"/>
      <c r="N295" s="28"/>
      <c r="O295" s="28"/>
      <c r="P295" s="28"/>
      <c r="Q295" s="5"/>
      <c r="R295" s="5"/>
      <c r="S295" s="5"/>
      <c r="T295" s="5"/>
      <c r="U295" s="5"/>
      <c r="V295" s="5"/>
      <c r="W295" s="28"/>
      <c r="X295" s="28"/>
      <c r="Y295" s="28"/>
      <c r="Z295" s="5"/>
      <c r="AA295" s="5"/>
      <c r="AB295" s="28"/>
      <c r="AC295" s="28"/>
      <c r="AD295" s="11"/>
      <c r="AE295" s="5"/>
      <c r="AF295" s="5"/>
      <c r="AG295" s="5"/>
      <c r="AH295" s="5"/>
      <c r="AI295" s="5"/>
      <c r="AJ295" s="5"/>
      <c r="AK295" s="5"/>
      <c r="AL295" s="5"/>
      <c r="AM295" s="5"/>
      <c r="AN295" s="17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28"/>
      <c r="BA295" s="5"/>
      <c r="BB295" s="5"/>
      <c r="BC295" s="5"/>
      <c r="BD295" s="5"/>
      <c r="BE295" s="5"/>
      <c r="BF295" s="28"/>
      <c r="BG295" s="28"/>
      <c r="BH295" s="5"/>
      <c r="BI295" s="5"/>
      <c r="BJ295" s="5">
        <f t="shared" si="9"/>
        <v>0</v>
      </c>
      <c r="BK295" s="42"/>
      <c r="BL295" s="42"/>
      <c r="BM295" s="13"/>
    </row>
    <row r="296" spans="1:65" s="8" customFormat="1" ht="11.25" hidden="1">
      <c r="A296" s="44"/>
      <c r="B296" s="9" t="s">
        <v>21</v>
      </c>
      <c r="C296" s="9" t="s">
        <v>8</v>
      </c>
      <c r="D296" s="21"/>
      <c r="E296" s="28"/>
      <c r="F296" s="28"/>
      <c r="G296" s="5"/>
      <c r="H296" s="34"/>
      <c r="I296" s="28"/>
      <c r="J296" s="28"/>
      <c r="K296" s="28"/>
      <c r="L296" s="28"/>
      <c r="M296" s="28"/>
      <c r="N296" s="28"/>
      <c r="O296" s="28"/>
      <c r="P296" s="28"/>
      <c r="Q296" s="5"/>
      <c r="R296" s="5"/>
      <c r="S296" s="5"/>
      <c r="T296" s="5"/>
      <c r="U296" s="5"/>
      <c r="V296" s="5"/>
      <c r="W296" s="28"/>
      <c r="X296" s="28"/>
      <c r="Y296" s="28"/>
      <c r="Z296" s="5"/>
      <c r="AA296" s="5"/>
      <c r="AB296" s="28"/>
      <c r="AC296" s="28"/>
      <c r="AD296" s="11"/>
      <c r="AE296" s="5"/>
      <c r="AF296" s="5"/>
      <c r="AG296" s="5"/>
      <c r="AH296" s="5"/>
      <c r="AI296" s="5"/>
      <c r="AJ296" s="5"/>
      <c r="AK296" s="5"/>
      <c r="AL296" s="5"/>
      <c r="AM296" s="5"/>
      <c r="AN296" s="17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28"/>
      <c r="BA296" s="5"/>
      <c r="BB296" s="5"/>
      <c r="BC296" s="5"/>
      <c r="BD296" s="5"/>
      <c r="BE296" s="5"/>
      <c r="BF296" s="28"/>
      <c r="BG296" s="28"/>
      <c r="BH296" s="5"/>
      <c r="BI296" s="5"/>
      <c r="BJ296" s="5">
        <f t="shared" si="9"/>
        <v>0</v>
      </c>
      <c r="BK296" s="42"/>
      <c r="BL296" s="42"/>
      <c r="BM296" s="13"/>
    </row>
    <row r="297" spans="1:65" s="8" customFormat="1" ht="11.25">
      <c r="A297" s="44" t="s">
        <v>270</v>
      </c>
      <c r="B297" s="9" t="s">
        <v>35</v>
      </c>
      <c r="C297" s="9" t="s">
        <v>16</v>
      </c>
      <c r="D297" s="21" t="s">
        <v>30</v>
      </c>
      <c r="E297" s="28">
        <v>1</v>
      </c>
      <c r="F297" s="28">
        <v>4</v>
      </c>
      <c r="G297" s="5"/>
      <c r="H297" s="34"/>
      <c r="I297" s="28"/>
      <c r="J297" s="28"/>
      <c r="K297" s="28"/>
      <c r="L297" s="28"/>
      <c r="M297" s="28"/>
      <c r="N297" s="28"/>
      <c r="O297" s="28"/>
      <c r="P297" s="28"/>
      <c r="Q297" s="5"/>
      <c r="R297" s="5"/>
      <c r="S297" s="5"/>
      <c r="T297" s="5"/>
      <c r="U297" s="5"/>
      <c r="V297" s="5"/>
      <c r="W297" s="28"/>
      <c r="X297" s="28"/>
      <c r="Y297" s="28"/>
      <c r="Z297" s="5"/>
      <c r="AA297" s="5"/>
      <c r="AB297" s="28"/>
      <c r="AC297" s="28"/>
      <c r="AD297" s="11"/>
      <c r="AE297" s="5"/>
      <c r="AF297" s="5"/>
      <c r="AG297" s="5"/>
      <c r="AH297" s="5"/>
      <c r="AI297" s="5"/>
      <c r="AJ297" s="5"/>
      <c r="AK297" s="5"/>
      <c r="AL297" s="5"/>
      <c r="AM297" s="5"/>
      <c r="AN297" s="17"/>
      <c r="AO297" s="5"/>
      <c r="AP297" s="5"/>
      <c r="AQ297" s="5"/>
      <c r="AR297" s="5"/>
      <c r="AS297" s="5"/>
      <c r="AT297" s="5"/>
      <c r="AU297" s="5"/>
      <c r="AV297" s="5"/>
      <c r="AW297" s="5"/>
      <c r="AX297" s="5">
        <v>1</v>
      </c>
      <c r="AY297" s="5">
        <v>1</v>
      </c>
      <c r="AZ297" s="28"/>
      <c r="BA297" s="5"/>
      <c r="BB297" s="5"/>
      <c r="BC297" s="5"/>
      <c r="BD297" s="5"/>
      <c r="BE297" s="5"/>
      <c r="BF297" s="28"/>
      <c r="BG297" s="28"/>
      <c r="BH297" s="5"/>
      <c r="BI297" s="5"/>
      <c r="BJ297" s="5">
        <f t="shared" si="9"/>
        <v>7</v>
      </c>
      <c r="BK297" s="42" t="s">
        <v>30</v>
      </c>
      <c r="BL297" s="42"/>
      <c r="BM297" s="13"/>
    </row>
    <row r="298" spans="1:65" s="9" customFormat="1" ht="11.25">
      <c r="A298" s="43" t="s">
        <v>271</v>
      </c>
      <c r="B298" s="9" t="s">
        <v>39</v>
      </c>
      <c r="C298" s="9" t="s">
        <v>65</v>
      </c>
      <c r="D298" s="21" t="s">
        <v>22</v>
      </c>
      <c r="E298" s="27"/>
      <c r="F298" s="27"/>
      <c r="G298" s="4"/>
      <c r="H298" s="34"/>
      <c r="I298" s="27"/>
      <c r="J298" s="27"/>
      <c r="K298" s="27"/>
      <c r="L298" s="27"/>
      <c r="M298" s="27"/>
      <c r="N298" s="27"/>
      <c r="O298" s="27"/>
      <c r="P298" s="27"/>
      <c r="Q298" s="4"/>
      <c r="R298" s="4"/>
      <c r="S298" s="4"/>
      <c r="T298" s="4"/>
      <c r="U298" s="4"/>
      <c r="V298" s="4"/>
      <c r="W298" s="27"/>
      <c r="X298" s="27"/>
      <c r="Y298" s="27"/>
      <c r="Z298" s="4"/>
      <c r="AA298" s="4"/>
      <c r="AB298" s="27"/>
      <c r="AC298" s="27"/>
      <c r="AD298" s="10"/>
      <c r="AE298" s="4"/>
      <c r="AF298" s="4"/>
      <c r="AG298" s="4"/>
      <c r="AH298" s="4"/>
      <c r="AI298" s="4"/>
      <c r="AJ298" s="4"/>
      <c r="AK298" s="4"/>
      <c r="AL298" s="4"/>
      <c r="AM298" s="4"/>
      <c r="AN298" s="17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27"/>
      <c r="BA298" s="4"/>
      <c r="BB298" s="4"/>
      <c r="BC298" s="4"/>
      <c r="BD298" s="4">
        <v>1</v>
      </c>
      <c r="BE298" s="4">
        <v>1</v>
      </c>
      <c r="BF298" s="27"/>
      <c r="BG298" s="27"/>
      <c r="BH298" s="4"/>
      <c r="BI298" s="4"/>
      <c r="BJ298" s="5">
        <f t="shared" si="9"/>
        <v>2</v>
      </c>
      <c r="BK298" s="42" t="s">
        <v>22</v>
      </c>
      <c r="BL298" s="42"/>
      <c r="BM298" s="51"/>
    </row>
    <row r="299" spans="1:65" s="8" customFormat="1" ht="11.25" hidden="1">
      <c r="A299" s="44"/>
      <c r="B299" s="9" t="s">
        <v>28</v>
      </c>
      <c r="C299" s="9" t="str">
        <f>"23/8"</f>
        <v>23/8</v>
      </c>
      <c r="D299" s="21"/>
      <c r="E299" s="28"/>
      <c r="F299" s="28"/>
      <c r="G299" s="5"/>
      <c r="H299" s="34"/>
      <c r="I299" s="28"/>
      <c r="J299" s="28"/>
      <c r="K299" s="28"/>
      <c r="L299" s="28"/>
      <c r="M299" s="28"/>
      <c r="N299" s="28"/>
      <c r="O299" s="28"/>
      <c r="P299" s="28"/>
      <c r="Q299" s="5"/>
      <c r="R299" s="5"/>
      <c r="S299" s="5"/>
      <c r="T299" s="5"/>
      <c r="U299" s="5"/>
      <c r="V299" s="5"/>
      <c r="W299" s="28"/>
      <c r="X299" s="28"/>
      <c r="Y299" s="28"/>
      <c r="Z299" s="5"/>
      <c r="AA299" s="5"/>
      <c r="AB299" s="28"/>
      <c r="AC299" s="28"/>
      <c r="AD299" s="11"/>
      <c r="AE299" s="5"/>
      <c r="AF299" s="5"/>
      <c r="AG299" s="5"/>
      <c r="AH299" s="5"/>
      <c r="AI299" s="5"/>
      <c r="AJ299" s="5"/>
      <c r="AK299" s="5"/>
      <c r="AL299" s="5"/>
      <c r="AM299" s="5"/>
      <c r="AN299" s="17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28"/>
      <c r="BA299" s="5"/>
      <c r="BB299" s="5"/>
      <c r="BC299" s="5"/>
      <c r="BD299" s="5"/>
      <c r="BE299" s="5"/>
      <c r="BF299" s="28"/>
      <c r="BG299" s="28"/>
      <c r="BH299" s="5"/>
      <c r="BI299" s="5"/>
      <c r="BJ299" s="5">
        <f t="shared" si="9"/>
        <v>0</v>
      </c>
      <c r="BK299" s="42"/>
      <c r="BL299" s="42"/>
      <c r="BM299" s="13"/>
    </row>
    <row r="300" spans="1:65" s="8" customFormat="1" ht="11.25" hidden="1">
      <c r="A300" s="44"/>
      <c r="B300" s="9" t="s">
        <v>28</v>
      </c>
      <c r="C300" s="9" t="str">
        <f>"23/13"</f>
        <v>23/13</v>
      </c>
      <c r="D300" s="21"/>
      <c r="E300" s="28"/>
      <c r="F300" s="28"/>
      <c r="G300" s="5"/>
      <c r="H300" s="34"/>
      <c r="I300" s="28"/>
      <c r="J300" s="28"/>
      <c r="K300" s="28"/>
      <c r="L300" s="28"/>
      <c r="M300" s="28"/>
      <c r="N300" s="28"/>
      <c r="O300" s="28"/>
      <c r="P300" s="28"/>
      <c r="Q300" s="5"/>
      <c r="R300" s="5"/>
      <c r="S300" s="5"/>
      <c r="T300" s="5"/>
      <c r="U300" s="5"/>
      <c r="V300" s="5"/>
      <c r="W300" s="28"/>
      <c r="X300" s="28"/>
      <c r="Y300" s="28"/>
      <c r="Z300" s="5"/>
      <c r="AA300" s="5"/>
      <c r="AB300" s="28"/>
      <c r="AC300" s="28"/>
      <c r="AD300" s="11"/>
      <c r="AE300" s="5"/>
      <c r="AF300" s="5"/>
      <c r="AG300" s="5"/>
      <c r="AH300" s="5"/>
      <c r="AI300" s="5"/>
      <c r="AJ300" s="5"/>
      <c r="AK300" s="5"/>
      <c r="AL300" s="5"/>
      <c r="AM300" s="5"/>
      <c r="AN300" s="17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28"/>
      <c r="BA300" s="5"/>
      <c r="BB300" s="5"/>
      <c r="BC300" s="5"/>
      <c r="BD300" s="5"/>
      <c r="BE300" s="5"/>
      <c r="BF300" s="28"/>
      <c r="BG300" s="28"/>
      <c r="BH300" s="5"/>
      <c r="BI300" s="5"/>
      <c r="BJ300" s="5">
        <f t="shared" si="9"/>
        <v>0</v>
      </c>
      <c r="BK300" s="42"/>
      <c r="BL300" s="42"/>
      <c r="BM300" s="13"/>
    </row>
    <row r="301" spans="1:67" s="8" customFormat="1" ht="11.25" hidden="1">
      <c r="A301" s="44"/>
      <c r="B301" s="9" t="s">
        <v>28</v>
      </c>
      <c r="C301" s="15">
        <v>14</v>
      </c>
      <c r="D301" s="21"/>
      <c r="E301" s="28"/>
      <c r="F301" s="28"/>
      <c r="G301" s="5"/>
      <c r="H301" s="34"/>
      <c r="I301" s="28"/>
      <c r="J301" s="28"/>
      <c r="K301" s="28"/>
      <c r="L301" s="28"/>
      <c r="M301" s="28"/>
      <c r="N301" s="28"/>
      <c r="O301" s="28"/>
      <c r="P301" s="28"/>
      <c r="Q301" s="5"/>
      <c r="R301" s="5"/>
      <c r="S301" s="5"/>
      <c r="T301" s="5"/>
      <c r="U301" s="5"/>
      <c r="V301" s="5"/>
      <c r="W301" s="28"/>
      <c r="X301" s="28"/>
      <c r="Y301" s="28"/>
      <c r="Z301" s="5"/>
      <c r="AA301" s="5"/>
      <c r="AB301" s="28"/>
      <c r="AC301" s="28"/>
      <c r="AD301" s="11"/>
      <c r="AE301" s="5"/>
      <c r="AF301" s="5"/>
      <c r="AG301" s="5"/>
      <c r="AH301" s="5"/>
      <c r="AI301" s="5"/>
      <c r="AJ301" s="5"/>
      <c r="AK301" s="5"/>
      <c r="AL301" s="5"/>
      <c r="AM301" s="5"/>
      <c r="AN301" s="17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28"/>
      <c r="BA301" s="5"/>
      <c r="BB301" s="5"/>
      <c r="BC301" s="5"/>
      <c r="BD301" s="5"/>
      <c r="BE301" s="5"/>
      <c r="BF301" s="28"/>
      <c r="BG301" s="28"/>
      <c r="BH301" s="5"/>
      <c r="BI301" s="5"/>
      <c r="BJ301" s="5">
        <f aca="true" t="shared" si="10" ref="BJ301:BJ315">SUM(E301:BI301)</f>
        <v>0</v>
      </c>
      <c r="BK301" s="42"/>
      <c r="BL301" s="42"/>
      <c r="BM301" s="13"/>
      <c r="BO301" s="9"/>
    </row>
    <row r="302" spans="1:65" s="9" customFormat="1" ht="11.25" hidden="1">
      <c r="A302" s="43"/>
      <c r="B302" s="9" t="s">
        <v>28</v>
      </c>
      <c r="D302" s="21"/>
      <c r="E302" s="27"/>
      <c r="F302" s="27"/>
      <c r="G302" s="4"/>
      <c r="H302" s="34"/>
      <c r="I302" s="27"/>
      <c r="J302" s="27"/>
      <c r="K302" s="27"/>
      <c r="L302" s="27"/>
      <c r="M302" s="27"/>
      <c r="N302" s="27"/>
      <c r="O302" s="27"/>
      <c r="P302" s="27"/>
      <c r="Q302" s="4"/>
      <c r="R302" s="4"/>
      <c r="S302" s="4"/>
      <c r="T302" s="4"/>
      <c r="U302" s="4"/>
      <c r="V302" s="4"/>
      <c r="W302" s="27"/>
      <c r="X302" s="27"/>
      <c r="Y302" s="27"/>
      <c r="Z302" s="4"/>
      <c r="AA302" s="4"/>
      <c r="AB302" s="27"/>
      <c r="AC302" s="27"/>
      <c r="AD302" s="10"/>
      <c r="AE302" s="4"/>
      <c r="AF302" s="4"/>
      <c r="AG302" s="4"/>
      <c r="AH302" s="4"/>
      <c r="AI302" s="4"/>
      <c r="AJ302" s="4"/>
      <c r="AK302" s="4"/>
      <c r="AL302" s="4"/>
      <c r="AM302" s="4"/>
      <c r="AN302" s="17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27"/>
      <c r="BA302" s="4"/>
      <c r="BB302" s="4"/>
      <c r="BC302" s="4"/>
      <c r="BD302" s="4"/>
      <c r="BE302" s="4"/>
      <c r="BF302" s="27"/>
      <c r="BG302" s="27"/>
      <c r="BH302" s="4"/>
      <c r="BI302" s="4"/>
      <c r="BJ302" s="5">
        <f t="shared" si="10"/>
        <v>0</v>
      </c>
      <c r="BK302" s="42"/>
      <c r="BL302" s="42"/>
      <c r="BM302" s="51"/>
    </row>
    <row r="303" spans="1:65" s="9" customFormat="1" ht="11.25" hidden="1">
      <c r="A303" s="43"/>
      <c r="B303" s="9" t="s">
        <v>28</v>
      </c>
      <c r="D303" s="21"/>
      <c r="E303" s="27"/>
      <c r="F303" s="27"/>
      <c r="G303" s="4"/>
      <c r="H303" s="34"/>
      <c r="I303" s="27"/>
      <c r="J303" s="27"/>
      <c r="K303" s="27"/>
      <c r="L303" s="27"/>
      <c r="M303" s="27"/>
      <c r="N303" s="27"/>
      <c r="O303" s="27"/>
      <c r="P303" s="27"/>
      <c r="Q303" s="4"/>
      <c r="R303" s="4"/>
      <c r="S303" s="4"/>
      <c r="T303" s="4"/>
      <c r="U303" s="4"/>
      <c r="V303" s="4"/>
      <c r="W303" s="27"/>
      <c r="X303" s="27"/>
      <c r="Y303" s="27"/>
      <c r="Z303" s="4"/>
      <c r="AA303" s="4"/>
      <c r="AB303" s="27"/>
      <c r="AC303" s="27"/>
      <c r="AD303" s="10"/>
      <c r="AE303" s="4"/>
      <c r="AF303" s="4"/>
      <c r="AG303" s="4"/>
      <c r="AH303" s="4"/>
      <c r="AI303" s="4"/>
      <c r="AJ303" s="4"/>
      <c r="AK303" s="4"/>
      <c r="AL303" s="4"/>
      <c r="AM303" s="4"/>
      <c r="AN303" s="17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27"/>
      <c r="BA303" s="4"/>
      <c r="BB303" s="4"/>
      <c r="BC303" s="4"/>
      <c r="BD303" s="4"/>
      <c r="BE303" s="4"/>
      <c r="BF303" s="27"/>
      <c r="BG303" s="27"/>
      <c r="BH303" s="4"/>
      <c r="BI303" s="4"/>
      <c r="BJ303" s="5">
        <f t="shared" si="10"/>
        <v>0</v>
      </c>
      <c r="BK303" s="42"/>
      <c r="BL303" s="42"/>
      <c r="BM303" s="51"/>
    </row>
    <row r="304" spans="1:65" s="9" customFormat="1" ht="11.25" hidden="1">
      <c r="A304" s="43"/>
      <c r="B304" s="9" t="s">
        <v>28</v>
      </c>
      <c r="D304" s="21"/>
      <c r="E304" s="27"/>
      <c r="F304" s="27"/>
      <c r="G304" s="4"/>
      <c r="H304" s="34"/>
      <c r="I304" s="27"/>
      <c r="J304" s="27"/>
      <c r="K304" s="27"/>
      <c r="L304" s="27"/>
      <c r="M304" s="27"/>
      <c r="N304" s="27"/>
      <c r="O304" s="27"/>
      <c r="P304" s="27"/>
      <c r="Q304" s="4"/>
      <c r="R304" s="4"/>
      <c r="S304" s="4"/>
      <c r="T304" s="4"/>
      <c r="U304" s="4"/>
      <c r="V304" s="4"/>
      <c r="W304" s="27"/>
      <c r="X304" s="27"/>
      <c r="Y304" s="27"/>
      <c r="Z304" s="4"/>
      <c r="AA304" s="4"/>
      <c r="AB304" s="27"/>
      <c r="AC304" s="27"/>
      <c r="AD304" s="10"/>
      <c r="AE304" s="4"/>
      <c r="AF304" s="4"/>
      <c r="AG304" s="4"/>
      <c r="AH304" s="4"/>
      <c r="AI304" s="4"/>
      <c r="AJ304" s="4"/>
      <c r="AK304" s="4"/>
      <c r="AL304" s="4"/>
      <c r="AM304" s="4"/>
      <c r="AN304" s="17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27"/>
      <c r="BA304" s="4"/>
      <c r="BB304" s="4"/>
      <c r="BC304" s="4"/>
      <c r="BD304" s="4"/>
      <c r="BE304" s="4"/>
      <c r="BF304" s="27"/>
      <c r="BG304" s="27"/>
      <c r="BH304" s="4"/>
      <c r="BI304" s="4"/>
      <c r="BJ304" s="5">
        <f t="shared" si="10"/>
        <v>0</v>
      </c>
      <c r="BK304" s="42"/>
      <c r="BL304" s="42"/>
      <c r="BM304" s="51"/>
    </row>
    <row r="305" spans="1:65" s="9" customFormat="1" ht="11.25" hidden="1">
      <c r="A305" s="43"/>
      <c r="B305" s="9" t="s">
        <v>28</v>
      </c>
      <c r="C305" s="9" t="str">
        <f>"A/4 25X4"</f>
        <v>A/4 25X4</v>
      </c>
      <c r="D305" s="21"/>
      <c r="E305" s="27"/>
      <c r="F305" s="27"/>
      <c r="G305" s="4"/>
      <c r="H305" s="34"/>
      <c r="I305" s="27"/>
      <c r="J305" s="27"/>
      <c r="K305" s="27"/>
      <c r="L305" s="27"/>
      <c r="M305" s="27"/>
      <c r="N305" s="27"/>
      <c r="O305" s="27"/>
      <c r="P305" s="27"/>
      <c r="Q305" s="4"/>
      <c r="R305" s="4"/>
      <c r="S305" s="4"/>
      <c r="T305" s="4"/>
      <c r="U305" s="4"/>
      <c r="V305" s="4"/>
      <c r="W305" s="27"/>
      <c r="X305" s="27"/>
      <c r="Y305" s="27"/>
      <c r="Z305" s="4"/>
      <c r="AA305" s="4"/>
      <c r="AB305" s="27"/>
      <c r="AC305" s="27"/>
      <c r="AD305" s="10"/>
      <c r="AE305" s="4"/>
      <c r="AF305" s="4"/>
      <c r="AG305" s="4"/>
      <c r="AH305" s="4"/>
      <c r="AI305" s="4"/>
      <c r="AJ305" s="4"/>
      <c r="AK305" s="4"/>
      <c r="AL305" s="4"/>
      <c r="AM305" s="4"/>
      <c r="AN305" s="17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27"/>
      <c r="BA305" s="4"/>
      <c r="BB305" s="4"/>
      <c r="BC305" s="4"/>
      <c r="BD305" s="4"/>
      <c r="BE305" s="4"/>
      <c r="BF305" s="27"/>
      <c r="BG305" s="27"/>
      <c r="BH305" s="4"/>
      <c r="BI305" s="4"/>
      <c r="BJ305" s="5">
        <f t="shared" si="10"/>
        <v>0</v>
      </c>
      <c r="BK305" s="42"/>
      <c r="BL305" s="42"/>
      <c r="BM305" s="51"/>
    </row>
    <row r="306" spans="1:65" s="9" customFormat="1" ht="11.25" hidden="1">
      <c r="A306" s="43"/>
      <c r="B306" s="9" t="s">
        <v>28</v>
      </c>
      <c r="C306" s="9" t="str">
        <f>"25X2 V.VÁLL 71/V"</f>
        <v>25X2 V.VÁLL 71/V</v>
      </c>
      <c r="D306" s="21"/>
      <c r="E306" s="27"/>
      <c r="F306" s="27"/>
      <c r="G306" s="4"/>
      <c r="H306" s="34"/>
      <c r="I306" s="27"/>
      <c r="J306" s="27"/>
      <c r="K306" s="27"/>
      <c r="L306" s="27"/>
      <c r="M306" s="27"/>
      <c r="N306" s="27"/>
      <c r="O306" s="27"/>
      <c r="P306" s="27"/>
      <c r="Q306" s="4"/>
      <c r="R306" s="4"/>
      <c r="S306" s="4"/>
      <c r="T306" s="4"/>
      <c r="U306" s="4"/>
      <c r="V306" s="4"/>
      <c r="W306" s="27"/>
      <c r="X306" s="27"/>
      <c r="Y306" s="27"/>
      <c r="Z306" s="4"/>
      <c r="AA306" s="4"/>
      <c r="AB306" s="27"/>
      <c r="AC306" s="27"/>
      <c r="AD306" s="10"/>
      <c r="AE306" s="4"/>
      <c r="AF306" s="4"/>
      <c r="AG306" s="4"/>
      <c r="AH306" s="4"/>
      <c r="AI306" s="4"/>
      <c r="AJ306" s="4"/>
      <c r="AK306" s="4"/>
      <c r="AL306" s="4"/>
      <c r="AM306" s="4"/>
      <c r="AN306" s="17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27"/>
      <c r="BA306" s="4"/>
      <c r="BB306" s="4"/>
      <c r="BC306" s="4"/>
      <c r="BD306" s="4"/>
      <c r="BE306" s="4"/>
      <c r="BF306" s="27"/>
      <c r="BG306" s="27"/>
      <c r="BH306" s="4"/>
      <c r="BI306" s="4"/>
      <c r="BJ306" s="5">
        <f t="shared" si="10"/>
        <v>0</v>
      </c>
      <c r="BK306" s="42"/>
      <c r="BL306" s="42"/>
      <c r="BM306" s="51"/>
    </row>
    <row r="307" spans="1:65" s="9" customFormat="1" ht="11.25" hidden="1">
      <c r="A307" s="43"/>
      <c r="B307" s="9" t="s">
        <v>28</v>
      </c>
      <c r="C307" s="9" t="str">
        <f>"PÁTRIA (C.3337-11)"</f>
        <v>PÁTRIA (C.3337-11)</v>
      </c>
      <c r="D307" s="21"/>
      <c r="E307" s="27"/>
      <c r="F307" s="27"/>
      <c r="G307" s="4"/>
      <c r="H307" s="34"/>
      <c r="I307" s="27"/>
      <c r="J307" s="27"/>
      <c r="K307" s="27"/>
      <c r="L307" s="27"/>
      <c r="M307" s="27"/>
      <c r="N307" s="27"/>
      <c r="O307" s="27"/>
      <c r="P307" s="27"/>
      <c r="Q307" s="4"/>
      <c r="R307" s="4"/>
      <c r="S307" s="4"/>
      <c r="T307" s="4"/>
      <c r="U307" s="4"/>
      <c r="V307" s="4"/>
      <c r="W307" s="27"/>
      <c r="X307" s="27"/>
      <c r="Y307" s="27"/>
      <c r="Z307" s="4"/>
      <c r="AA307" s="4"/>
      <c r="AB307" s="27"/>
      <c r="AC307" s="27"/>
      <c r="AD307" s="10"/>
      <c r="AE307" s="4"/>
      <c r="AF307" s="4"/>
      <c r="AG307" s="4"/>
      <c r="AH307" s="4"/>
      <c r="AI307" s="4"/>
      <c r="AJ307" s="4"/>
      <c r="AK307" s="4"/>
      <c r="AL307" s="4"/>
      <c r="AM307" s="4"/>
      <c r="AN307" s="17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27"/>
      <c r="BA307" s="4"/>
      <c r="BB307" s="4"/>
      <c r="BC307" s="4"/>
      <c r="BD307" s="4"/>
      <c r="BE307" s="4"/>
      <c r="BF307" s="27"/>
      <c r="BG307" s="27"/>
      <c r="BH307" s="4"/>
      <c r="BI307" s="4"/>
      <c r="BJ307" s="5">
        <f t="shared" si="10"/>
        <v>0</v>
      </c>
      <c r="BK307" s="42"/>
      <c r="BL307" s="42"/>
      <c r="BM307" s="51"/>
    </row>
    <row r="308" spans="1:65" s="9" customFormat="1" ht="11.25" hidden="1">
      <c r="A308" s="43"/>
      <c r="B308" s="9" t="s">
        <v>28</v>
      </c>
      <c r="D308" s="21"/>
      <c r="E308" s="27"/>
      <c r="F308" s="27"/>
      <c r="G308" s="4"/>
      <c r="H308" s="34"/>
      <c r="I308" s="27"/>
      <c r="J308" s="27"/>
      <c r="K308" s="27"/>
      <c r="L308" s="27"/>
      <c r="M308" s="27"/>
      <c r="N308" s="27"/>
      <c r="O308" s="27"/>
      <c r="P308" s="27"/>
      <c r="Q308" s="4"/>
      <c r="R308" s="4"/>
      <c r="S308" s="4"/>
      <c r="T308" s="4"/>
      <c r="U308" s="4"/>
      <c r="V308" s="4"/>
      <c r="W308" s="27"/>
      <c r="X308" s="27"/>
      <c r="Y308" s="27"/>
      <c r="Z308" s="4"/>
      <c r="AA308" s="4"/>
      <c r="AB308" s="27"/>
      <c r="AC308" s="27"/>
      <c r="AD308" s="10"/>
      <c r="AE308" s="4"/>
      <c r="AF308" s="4"/>
      <c r="AG308" s="4"/>
      <c r="AH308" s="4"/>
      <c r="AI308" s="4"/>
      <c r="AJ308" s="4"/>
      <c r="AK308" s="4"/>
      <c r="AL308" s="4"/>
      <c r="AM308" s="4"/>
      <c r="AN308" s="17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27"/>
      <c r="BA308" s="4"/>
      <c r="BB308" s="4"/>
      <c r="BC308" s="4"/>
      <c r="BD308" s="4"/>
      <c r="BE308" s="4"/>
      <c r="BF308" s="27"/>
      <c r="BG308" s="27"/>
      <c r="BH308" s="4"/>
      <c r="BI308" s="4"/>
      <c r="BJ308" s="5">
        <f t="shared" si="10"/>
        <v>0</v>
      </c>
      <c r="BK308" s="42"/>
      <c r="BL308" s="42"/>
      <c r="BM308" s="51"/>
    </row>
    <row r="309" spans="1:65" s="9" customFormat="1" ht="11.25" hidden="1">
      <c r="A309" s="43"/>
      <c r="B309" s="9" t="s">
        <v>28</v>
      </c>
      <c r="C309" s="9" t="str">
        <f>"A/4"</f>
        <v>A/4</v>
      </c>
      <c r="D309" s="21"/>
      <c r="E309" s="27"/>
      <c r="F309" s="27"/>
      <c r="G309" s="4"/>
      <c r="H309" s="34"/>
      <c r="I309" s="27"/>
      <c r="J309" s="27"/>
      <c r="K309" s="27"/>
      <c r="L309" s="27"/>
      <c r="M309" s="27"/>
      <c r="N309" s="27"/>
      <c r="O309" s="27"/>
      <c r="P309" s="27"/>
      <c r="Q309" s="4"/>
      <c r="R309" s="4"/>
      <c r="S309" s="4"/>
      <c r="T309" s="4"/>
      <c r="U309" s="4"/>
      <c r="V309" s="4"/>
      <c r="W309" s="27"/>
      <c r="X309" s="27"/>
      <c r="Y309" s="27"/>
      <c r="Z309" s="4"/>
      <c r="AA309" s="4"/>
      <c r="AB309" s="27"/>
      <c r="AC309" s="27"/>
      <c r="AD309" s="10"/>
      <c r="AE309" s="4"/>
      <c r="AF309" s="4"/>
      <c r="AG309" s="4"/>
      <c r="AH309" s="4"/>
      <c r="AI309" s="4"/>
      <c r="AJ309" s="4"/>
      <c r="AK309" s="4"/>
      <c r="AL309" s="4"/>
      <c r="AM309" s="4"/>
      <c r="AN309" s="17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27"/>
      <c r="BA309" s="4"/>
      <c r="BB309" s="4"/>
      <c r="BC309" s="4"/>
      <c r="BD309" s="4"/>
      <c r="BE309" s="4"/>
      <c r="BF309" s="27"/>
      <c r="BG309" s="27"/>
      <c r="BH309" s="4"/>
      <c r="BI309" s="4"/>
      <c r="BJ309" s="5">
        <f t="shared" si="10"/>
        <v>0</v>
      </c>
      <c r="BK309" s="42"/>
      <c r="BL309" s="42"/>
      <c r="BM309" s="51"/>
    </row>
    <row r="310" spans="1:65" s="9" customFormat="1" ht="11.25" hidden="1">
      <c r="A310" s="43"/>
      <c r="B310" s="9" t="s">
        <v>28</v>
      </c>
      <c r="C310" s="9" t="str">
        <f>"DVV.1250/ÚJ A/5"</f>
        <v>DVV.1250/ÚJ A/5</v>
      </c>
      <c r="D310" s="21"/>
      <c r="E310" s="27"/>
      <c r="F310" s="27"/>
      <c r="G310" s="4"/>
      <c r="H310" s="34"/>
      <c r="I310" s="27"/>
      <c r="J310" s="27"/>
      <c r="K310" s="27"/>
      <c r="L310" s="27"/>
      <c r="M310" s="27"/>
      <c r="N310" s="27"/>
      <c r="O310" s="27"/>
      <c r="P310" s="27"/>
      <c r="Q310" s="4"/>
      <c r="R310" s="4"/>
      <c r="S310" s="4"/>
      <c r="T310" s="4"/>
      <c r="U310" s="4"/>
      <c r="V310" s="4"/>
      <c r="W310" s="27"/>
      <c r="X310" s="27"/>
      <c r="Y310" s="27"/>
      <c r="Z310" s="4"/>
      <c r="AA310" s="4"/>
      <c r="AB310" s="27"/>
      <c r="AC310" s="27"/>
      <c r="AD310" s="10"/>
      <c r="AE310" s="4"/>
      <c r="AF310" s="4"/>
      <c r="AG310" s="4"/>
      <c r="AH310" s="4"/>
      <c r="AI310" s="4"/>
      <c r="AJ310" s="4"/>
      <c r="AK310" s="4"/>
      <c r="AL310" s="4"/>
      <c r="AM310" s="4"/>
      <c r="AN310" s="17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27"/>
      <c r="BA310" s="4"/>
      <c r="BB310" s="4"/>
      <c r="BC310" s="4"/>
      <c r="BD310" s="4"/>
      <c r="BE310" s="4"/>
      <c r="BF310" s="27"/>
      <c r="BG310" s="27"/>
      <c r="BH310" s="4"/>
      <c r="BI310" s="4"/>
      <c r="BJ310" s="5">
        <f t="shared" si="10"/>
        <v>0</v>
      </c>
      <c r="BK310" s="42"/>
      <c r="BL310" s="42"/>
      <c r="BM310" s="51"/>
    </row>
    <row r="311" spans="1:65" s="9" customFormat="1" ht="11.25" hidden="1">
      <c r="A311" s="43"/>
      <c r="B311" s="9" t="s">
        <v>28</v>
      </c>
      <c r="C311" s="9" t="s">
        <v>1</v>
      </c>
      <c r="D311" s="21"/>
      <c r="E311" s="27"/>
      <c r="F311" s="27"/>
      <c r="G311" s="4"/>
      <c r="H311" s="34"/>
      <c r="I311" s="27"/>
      <c r="J311" s="27"/>
      <c r="K311" s="27"/>
      <c r="L311" s="27"/>
      <c r="M311" s="27"/>
      <c r="N311" s="27"/>
      <c r="O311" s="27"/>
      <c r="P311" s="27"/>
      <c r="Q311" s="4"/>
      <c r="R311" s="4"/>
      <c r="S311" s="4"/>
      <c r="T311" s="4"/>
      <c r="U311" s="4"/>
      <c r="V311" s="4"/>
      <c r="W311" s="27"/>
      <c r="X311" s="27"/>
      <c r="Y311" s="27"/>
      <c r="Z311" s="4"/>
      <c r="AA311" s="4"/>
      <c r="AB311" s="27"/>
      <c r="AC311" s="27"/>
      <c r="AD311" s="10"/>
      <c r="AE311" s="4"/>
      <c r="AF311" s="4"/>
      <c r="AG311" s="4"/>
      <c r="AH311" s="4"/>
      <c r="AI311" s="4"/>
      <c r="AJ311" s="4"/>
      <c r="AK311" s="4"/>
      <c r="AL311" s="4"/>
      <c r="AM311" s="4"/>
      <c r="AN311" s="17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27"/>
      <c r="BA311" s="4"/>
      <c r="BB311" s="4"/>
      <c r="BC311" s="4"/>
      <c r="BD311" s="4"/>
      <c r="BE311" s="4"/>
      <c r="BF311" s="27"/>
      <c r="BG311" s="27"/>
      <c r="BH311" s="4"/>
      <c r="BI311" s="4"/>
      <c r="BJ311" s="5">
        <f t="shared" si="10"/>
        <v>0</v>
      </c>
      <c r="BK311" s="42"/>
      <c r="BL311" s="42"/>
      <c r="BM311" s="51"/>
    </row>
    <row r="312" spans="1:65" s="9" customFormat="1" ht="11.25" hidden="1">
      <c r="A312" s="43"/>
      <c r="B312" s="9" t="s">
        <v>28</v>
      </c>
      <c r="D312" s="21"/>
      <c r="E312" s="27"/>
      <c r="F312" s="27"/>
      <c r="G312" s="4"/>
      <c r="H312" s="34"/>
      <c r="I312" s="27"/>
      <c r="J312" s="27"/>
      <c r="K312" s="27"/>
      <c r="L312" s="27"/>
      <c r="M312" s="27"/>
      <c r="N312" s="27"/>
      <c r="O312" s="27"/>
      <c r="P312" s="27"/>
      <c r="Q312" s="4"/>
      <c r="R312" s="4"/>
      <c r="S312" s="4"/>
      <c r="T312" s="4"/>
      <c r="U312" s="4"/>
      <c r="V312" s="4"/>
      <c r="W312" s="27"/>
      <c r="X312" s="27"/>
      <c r="Y312" s="27"/>
      <c r="Z312" s="4"/>
      <c r="AA312" s="4"/>
      <c r="AB312" s="27"/>
      <c r="AC312" s="27"/>
      <c r="AD312" s="10"/>
      <c r="AE312" s="4"/>
      <c r="AF312" s="4"/>
      <c r="AG312" s="4"/>
      <c r="AH312" s="4"/>
      <c r="AI312" s="4"/>
      <c r="AJ312" s="4"/>
      <c r="AK312" s="4"/>
      <c r="AL312" s="4"/>
      <c r="AM312" s="4"/>
      <c r="AN312" s="17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27"/>
      <c r="BA312" s="4"/>
      <c r="BB312" s="4"/>
      <c r="BC312" s="4"/>
      <c r="BD312" s="4"/>
      <c r="BE312" s="4"/>
      <c r="BF312" s="27"/>
      <c r="BG312" s="27"/>
      <c r="BH312" s="4"/>
      <c r="BI312" s="4"/>
      <c r="BJ312" s="5">
        <f t="shared" si="10"/>
        <v>0</v>
      </c>
      <c r="BK312" s="42"/>
      <c r="BL312" s="42"/>
      <c r="BM312" s="51"/>
    </row>
    <row r="313" spans="1:65" s="9" customFormat="1" ht="11.25">
      <c r="A313" s="43" t="s">
        <v>272</v>
      </c>
      <c r="B313" s="9" t="s">
        <v>39</v>
      </c>
      <c r="C313" s="9" t="s">
        <v>64</v>
      </c>
      <c r="D313" s="21" t="s">
        <v>22</v>
      </c>
      <c r="E313" s="27"/>
      <c r="F313" s="27"/>
      <c r="G313" s="4"/>
      <c r="H313" s="34"/>
      <c r="I313" s="27"/>
      <c r="J313" s="27"/>
      <c r="K313" s="27"/>
      <c r="L313" s="27"/>
      <c r="M313" s="27"/>
      <c r="N313" s="27"/>
      <c r="O313" s="27"/>
      <c r="P313" s="27"/>
      <c r="Q313" s="4"/>
      <c r="R313" s="4"/>
      <c r="S313" s="4"/>
      <c r="T313" s="4"/>
      <c r="U313" s="4"/>
      <c r="V313" s="4"/>
      <c r="W313" s="27"/>
      <c r="X313" s="27"/>
      <c r="Y313" s="27"/>
      <c r="Z313" s="4"/>
      <c r="AA313" s="4"/>
      <c r="AB313" s="27"/>
      <c r="AC313" s="27"/>
      <c r="AD313" s="10"/>
      <c r="AE313" s="4"/>
      <c r="AF313" s="4"/>
      <c r="AG313" s="4"/>
      <c r="AH313" s="4"/>
      <c r="AI313" s="4"/>
      <c r="AJ313" s="4"/>
      <c r="AK313" s="4"/>
      <c r="AL313" s="4"/>
      <c r="AM313" s="4"/>
      <c r="AN313" s="17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27"/>
      <c r="BA313" s="4"/>
      <c r="BB313" s="4"/>
      <c r="BC313" s="4"/>
      <c r="BD313" s="4">
        <v>1</v>
      </c>
      <c r="BE313" s="4">
        <v>1</v>
      </c>
      <c r="BF313" s="27"/>
      <c r="BG313" s="27"/>
      <c r="BH313" s="4"/>
      <c r="BI313" s="4"/>
      <c r="BJ313" s="5">
        <f t="shared" si="10"/>
        <v>2</v>
      </c>
      <c r="BK313" s="42" t="s">
        <v>22</v>
      </c>
      <c r="BL313" s="42"/>
      <c r="BM313" s="51"/>
    </row>
    <row r="314" spans="1:65" s="9" customFormat="1" ht="11.25">
      <c r="A314" s="43" t="s">
        <v>273</v>
      </c>
      <c r="B314" s="9" t="s">
        <v>39</v>
      </c>
      <c r="C314" s="9" t="s">
        <v>40</v>
      </c>
      <c r="D314" s="21" t="s">
        <v>22</v>
      </c>
      <c r="E314" s="27"/>
      <c r="F314" s="27"/>
      <c r="G314" s="4"/>
      <c r="H314" s="34"/>
      <c r="I314" s="27"/>
      <c r="J314" s="27"/>
      <c r="K314" s="27"/>
      <c r="L314" s="27"/>
      <c r="M314" s="27"/>
      <c r="N314" s="27"/>
      <c r="O314" s="27"/>
      <c r="P314" s="27"/>
      <c r="Q314" s="4"/>
      <c r="R314" s="4"/>
      <c r="S314" s="4"/>
      <c r="T314" s="4"/>
      <c r="U314" s="4"/>
      <c r="V314" s="4"/>
      <c r="W314" s="27"/>
      <c r="X314" s="27"/>
      <c r="Y314" s="27"/>
      <c r="Z314" s="4"/>
      <c r="AA314" s="4"/>
      <c r="AB314" s="27"/>
      <c r="AC314" s="27"/>
      <c r="AD314" s="10"/>
      <c r="AE314" s="4"/>
      <c r="AF314" s="4"/>
      <c r="AG314" s="4"/>
      <c r="AH314" s="4"/>
      <c r="AI314" s="4"/>
      <c r="AJ314" s="4"/>
      <c r="AK314" s="4"/>
      <c r="AL314" s="4"/>
      <c r="AM314" s="4"/>
      <c r="AN314" s="17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27"/>
      <c r="BA314" s="4"/>
      <c r="BB314" s="4"/>
      <c r="BC314" s="4"/>
      <c r="BD314" s="4">
        <v>1</v>
      </c>
      <c r="BE314" s="4">
        <v>1</v>
      </c>
      <c r="BF314" s="27"/>
      <c r="BG314" s="27"/>
      <c r="BH314" s="4"/>
      <c r="BI314" s="4"/>
      <c r="BJ314" s="5">
        <f t="shared" si="10"/>
        <v>2</v>
      </c>
      <c r="BK314" s="42" t="s">
        <v>22</v>
      </c>
      <c r="BL314" s="42"/>
      <c r="BM314" s="51"/>
    </row>
    <row r="315" spans="1:65" s="8" customFormat="1" ht="11.25">
      <c r="A315" s="44" t="s">
        <v>274</v>
      </c>
      <c r="B315" s="9" t="s">
        <v>39</v>
      </c>
      <c r="C315" s="9" t="s">
        <v>117</v>
      </c>
      <c r="D315" s="21" t="s">
        <v>22</v>
      </c>
      <c r="E315" s="28"/>
      <c r="F315" s="28"/>
      <c r="G315" s="5"/>
      <c r="H315" s="34"/>
      <c r="I315" s="28"/>
      <c r="J315" s="28"/>
      <c r="K315" s="28"/>
      <c r="L315" s="28"/>
      <c r="M315" s="28"/>
      <c r="N315" s="28"/>
      <c r="O315" s="28"/>
      <c r="P315" s="28"/>
      <c r="Q315" s="5"/>
      <c r="R315" s="5"/>
      <c r="S315" s="5"/>
      <c r="T315" s="5"/>
      <c r="U315" s="5"/>
      <c r="V315" s="5"/>
      <c r="W315" s="28"/>
      <c r="X315" s="28"/>
      <c r="Y315" s="28"/>
      <c r="Z315" s="5"/>
      <c r="AA315" s="5"/>
      <c r="AB315" s="28"/>
      <c r="AC315" s="28"/>
      <c r="AD315" s="11"/>
      <c r="AE315" s="5"/>
      <c r="AF315" s="5"/>
      <c r="AG315" s="5"/>
      <c r="AH315" s="5"/>
      <c r="AI315" s="5"/>
      <c r="AJ315" s="5"/>
      <c r="AK315" s="5"/>
      <c r="AL315" s="5"/>
      <c r="AM315" s="5"/>
      <c r="AN315" s="17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28"/>
      <c r="BA315" s="5">
        <v>2</v>
      </c>
      <c r="BB315" s="5"/>
      <c r="BC315" s="5"/>
      <c r="BD315" s="5">
        <v>1</v>
      </c>
      <c r="BE315" s="5">
        <v>1</v>
      </c>
      <c r="BF315" s="28"/>
      <c r="BG315" s="28"/>
      <c r="BH315" s="5"/>
      <c r="BI315" s="5"/>
      <c r="BJ315" s="5">
        <f t="shared" si="10"/>
        <v>4</v>
      </c>
      <c r="BK315" s="42" t="s">
        <v>22</v>
      </c>
      <c r="BL315" s="42"/>
      <c r="BM315" s="13"/>
    </row>
    <row r="316" spans="1:65" s="8" customFormat="1" ht="11.25">
      <c r="A316" s="44" t="s">
        <v>275</v>
      </c>
      <c r="B316" s="9" t="s">
        <v>48</v>
      </c>
      <c r="C316" s="9" t="s">
        <v>50</v>
      </c>
      <c r="D316" s="21" t="s">
        <v>22</v>
      </c>
      <c r="E316" s="28"/>
      <c r="F316" s="28">
        <v>4</v>
      </c>
      <c r="G316" s="5"/>
      <c r="H316" s="34"/>
      <c r="I316" s="28"/>
      <c r="J316" s="28"/>
      <c r="K316" s="28"/>
      <c r="L316" s="28"/>
      <c r="M316" s="28"/>
      <c r="N316" s="28"/>
      <c r="O316" s="27"/>
      <c r="P316" s="28"/>
      <c r="Q316" s="5"/>
      <c r="R316" s="5"/>
      <c r="S316" s="4"/>
      <c r="T316" s="4"/>
      <c r="U316" s="4"/>
      <c r="V316" s="4"/>
      <c r="W316" s="27"/>
      <c r="X316" s="28"/>
      <c r="Y316" s="28"/>
      <c r="Z316" s="4"/>
      <c r="AA316" s="4"/>
      <c r="AB316" s="27"/>
      <c r="AC316" s="27"/>
      <c r="AD316" s="10"/>
      <c r="AE316" s="4"/>
      <c r="AF316" s="4"/>
      <c r="AG316" s="4"/>
      <c r="AH316" s="4"/>
      <c r="AI316" s="4"/>
      <c r="AJ316" s="4"/>
      <c r="AK316" s="4"/>
      <c r="AL316" s="4"/>
      <c r="AM316" s="5"/>
      <c r="AN316" s="17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28"/>
      <c r="BA316" s="5"/>
      <c r="BB316" s="5"/>
      <c r="BC316" s="5"/>
      <c r="BD316" s="5"/>
      <c r="BE316" s="5"/>
      <c r="BF316" s="28"/>
      <c r="BG316" s="28"/>
      <c r="BH316" s="5"/>
      <c r="BI316" s="5"/>
      <c r="BJ316" s="5">
        <f>SUM(E316:BI316)</f>
        <v>4</v>
      </c>
      <c r="BK316" s="42" t="s">
        <v>22</v>
      </c>
      <c r="BL316" s="42"/>
      <c r="BM316" s="13"/>
    </row>
    <row r="317" spans="1:65" s="8" customFormat="1" ht="11.25">
      <c r="A317" s="44" t="s">
        <v>276</v>
      </c>
      <c r="B317" s="9" t="s">
        <v>48</v>
      </c>
      <c r="C317" s="9" t="s">
        <v>52</v>
      </c>
      <c r="D317" s="21" t="s">
        <v>22</v>
      </c>
      <c r="E317" s="28"/>
      <c r="F317" s="28">
        <v>4</v>
      </c>
      <c r="G317" s="5"/>
      <c r="H317" s="34"/>
      <c r="I317" s="28"/>
      <c r="J317" s="28"/>
      <c r="K317" s="28"/>
      <c r="L317" s="28"/>
      <c r="M317" s="28"/>
      <c r="N317" s="28"/>
      <c r="O317" s="27"/>
      <c r="P317" s="28"/>
      <c r="Q317" s="5"/>
      <c r="R317" s="5"/>
      <c r="S317" s="4"/>
      <c r="T317" s="4"/>
      <c r="U317" s="4"/>
      <c r="V317" s="4"/>
      <c r="W317" s="27"/>
      <c r="X317" s="28"/>
      <c r="Y317" s="28"/>
      <c r="Z317" s="4"/>
      <c r="AA317" s="4"/>
      <c r="AB317" s="27"/>
      <c r="AC317" s="27"/>
      <c r="AD317" s="10"/>
      <c r="AE317" s="4"/>
      <c r="AF317" s="4"/>
      <c r="AG317" s="4"/>
      <c r="AH317" s="4"/>
      <c r="AI317" s="4"/>
      <c r="AJ317" s="4"/>
      <c r="AK317" s="4"/>
      <c r="AL317" s="4"/>
      <c r="AM317" s="5"/>
      <c r="AN317" s="17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28"/>
      <c r="BA317" s="5"/>
      <c r="BB317" s="5"/>
      <c r="BC317" s="5"/>
      <c r="BD317" s="5"/>
      <c r="BE317" s="5"/>
      <c r="BF317" s="28"/>
      <c r="BG317" s="28"/>
      <c r="BH317" s="5"/>
      <c r="BI317" s="5"/>
      <c r="BJ317" s="5">
        <f aca="true" t="shared" si="11" ref="BJ317:BJ352">SUM(E317:BI317)</f>
        <v>4</v>
      </c>
      <c r="BK317" s="42" t="s">
        <v>22</v>
      </c>
      <c r="BL317" s="42"/>
      <c r="BM317" s="13"/>
    </row>
    <row r="318" spans="1:65" s="8" customFormat="1" ht="11.25">
      <c r="A318" s="44" t="s">
        <v>277</v>
      </c>
      <c r="B318" s="9" t="s">
        <v>48</v>
      </c>
      <c r="C318" s="9" t="s">
        <v>51</v>
      </c>
      <c r="D318" s="21" t="s">
        <v>22</v>
      </c>
      <c r="E318" s="28"/>
      <c r="F318" s="28">
        <v>4</v>
      </c>
      <c r="G318" s="5"/>
      <c r="H318" s="34"/>
      <c r="I318" s="28"/>
      <c r="J318" s="28">
        <v>3</v>
      </c>
      <c r="K318" s="28"/>
      <c r="L318" s="28"/>
      <c r="M318" s="28"/>
      <c r="N318" s="28"/>
      <c r="O318" s="27"/>
      <c r="P318" s="28"/>
      <c r="Q318" s="5"/>
      <c r="R318" s="5"/>
      <c r="S318" s="4"/>
      <c r="T318" s="4"/>
      <c r="U318" s="4"/>
      <c r="V318" s="4"/>
      <c r="W318" s="27"/>
      <c r="X318" s="28"/>
      <c r="Y318" s="28"/>
      <c r="Z318" s="4"/>
      <c r="AA318" s="4"/>
      <c r="AB318" s="27"/>
      <c r="AC318" s="27"/>
      <c r="AD318" s="10"/>
      <c r="AE318" s="4"/>
      <c r="AF318" s="4"/>
      <c r="AG318" s="4"/>
      <c r="AH318" s="4"/>
      <c r="AI318" s="4"/>
      <c r="AJ318" s="4"/>
      <c r="AK318" s="4"/>
      <c r="AL318" s="4"/>
      <c r="AM318" s="5"/>
      <c r="AN318" s="17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28"/>
      <c r="BA318" s="5"/>
      <c r="BB318" s="5"/>
      <c r="BC318" s="5"/>
      <c r="BD318" s="5"/>
      <c r="BE318" s="5"/>
      <c r="BF318" s="28"/>
      <c r="BG318" s="28"/>
      <c r="BH318" s="5"/>
      <c r="BI318" s="5"/>
      <c r="BJ318" s="5">
        <f t="shared" si="11"/>
        <v>7</v>
      </c>
      <c r="BK318" s="42" t="s">
        <v>22</v>
      </c>
      <c r="BL318" s="42"/>
      <c r="BM318" s="13"/>
    </row>
    <row r="319" spans="1:65" s="8" customFormat="1" ht="11.25">
      <c r="A319" s="44" t="s">
        <v>278</v>
      </c>
      <c r="B319" s="9" t="s">
        <v>48</v>
      </c>
      <c r="C319" s="9" t="s">
        <v>49</v>
      </c>
      <c r="D319" s="21" t="s">
        <v>22</v>
      </c>
      <c r="E319" s="28"/>
      <c r="F319" s="28"/>
      <c r="G319" s="5"/>
      <c r="H319" s="34"/>
      <c r="I319" s="28"/>
      <c r="J319" s="28">
        <v>3</v>
      </c>
      <c r="K319" s="28"/>
      <c r="L319" s="28"/>
      <c r="M319" s="28"/>
      <c r="N319" s="28"/>
      <c r="O319" s="28"/>
      <c r="P319" s="28"/>
      <c r="Q319" s="5"/>
      <c r="R319" s="5"/>
      <c r="S319" s="5"/>
      <c r="T319" s="5"/>
      <c r="U319" s="5"/>
      <c r="V319" s="5"/>
      <c r="W319" s="28"/>
      <c r="X319" s="28"/>
      <c r="Y319" s="28"/>
      <c r="Z319" s="5"/>
      <c r="AA319" s="5"/>
      <c r="AB319" s="28"/>
      <c r="AC319" s="28"/>
      <c r="AD319" s="11"/>
      <c r="AE319" s="5"/>
      <c r="AF319" s="5"/>
      <c r="AG319" s="5"/>
      <c r="AH319" s="5"/>
      <c r="AI319" s="5"/>
      <c r="AJ319" s="5"/>
      <c r="AK319" s="5"/>
      <c r="AL319" s="5"/>
      <c r="AM319" s="5"/>
      <c r="AN319" s="17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28"/>
      <c r="BA319" s="5"/>
      <c r="BB319" s="5"/>
      <c r="BC319" s="5"/>
      <c r="BD319" s="5"/>
      <c r="BE319" s="5"/>
      <c r="BF319" s="28"/>
      <c r="BG319" s="28"/>
      <c r="BH319" s="5"/>
      <c r="BI319" s="5"/>
      <c r="BJ319" s="5">
        <f t="shared" si="11"/>
        <v>3</v>
      </c>
      <c r="BK319" s="42" t="s">
        <v>22</v>
      </c>
      <c r="BL319" s="42"/>
      <c r="BM319" s="13"/>
    </row>
    <row r="320" spans="1:65" s="8" customFormat="1" ht="11.25">
      <c r="A320" s="44" t="s">
        <v>279</v>
      </c>
      <c r="B320" s="9" t="s">
        <v>48</v>
      </c>
      <c r="C320" s="9" t="s">
        <v>53</v>
      </c>
      <c r="D320" s="21" t="s">
        <v>22</v>
      </c>
      <c r="E320" s="28">
        <v>10</v>
      </c>
      <c r="F320" s="28"/>
      <c r="G320" s="5">
        <v>10</v>
      </c>
      <c r="H320" s="34"/>
      <c r="I320" s="28"/>
      <c r="J320" s="28"/>
      <c r="K320" s="28"/>
      <c r="L320" s="28"/>
      <c r="M320" s="28"/>
      <c r="N320" s="28"/>
      <c r="O320" s="28"/>
      <c r="P320" s="28"/>
      <c r="Q320" s="5"/>
      <c r="R320" s="5"/>
      <c r="S320" s="5"/>
      <c r="T320" s="5"/>
      <c r="U320" s="5"/>
      <c r="V320" s="5"/>
      <c r="W320" s="28"/>
      <c r="X320" s="28"/>
      <c r="Y320" s="28"/>
      <c r="Z320" s="5"/>
      <c r="AA320" s="5"/>
      <c r="AB320" s="28"/>
      <c r="AC320" s="28"/>
      <c r="AD320" s="11"/>
      <c r="AE320" s="5"/>
      <c r="AF320" s="5"/>
      <c r="AG320" s="5"/>
      <c r="AH320" s="5"/>
      <c r="AI320" s="5"/>
      <c r="AJ320" s="5"/>
      <c r="AK320" s="5"/>
      <c r="AL320" s="5"/>
      <c r="AM320" s="5"/>
      <c r="AN320" s="17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28"/>
      <c r="BA320" s="5"/>
      <c r="BB320" s="5"/>
      <c r="BC320" s="5"/>
      <c r="BD320" s="5"/>
      <c r="BE320" s="5"/>
      <c r="BF320" s="28"/>
      <c r="BG320" s="28"/>
      <c r="BH320" s="5">
        <v>2</v>
      </c>
      <c r="BI320" s="5"/>
      <c r="BJ320" s="5">
        <f t="shared" si="11"/>
        <v>22</v>
      </c>
      <c r="BK320" s="42" t="s">
        <v>22</v>
      </c>
      <c r="BL320" s="42"/>
      <c r="BM320" s="13"/>
    </row>
    <row r="321" spans="1:65" s="8" customFormat="1" ht="11.25">
      <c r="A321" s="44" t="s">
        <v>280</v>
      </c>
      <c r="B321" s="9" t="s">
        <v>48</v>
      </c>
      <c r="C321" s="9" t="s">
        <v>55</v>
      </c>
      <c r="D321" s="21" t="s">
        <v>22</v>
      </c>
      <c r="E321" s="28">
        <v>10</v>
      </c>
      <c r="F321" s="28"/>
      <c r="G321" s="5"/>
      <c r="H321" s="34"/>
      <c r="I321" s="28"/>
      <c r="J321" s="28"/>
      <c r="K321" s="28"/>
      <c r="L321" s="28"/>
      <c r="M321" s="28"/>
      <c r="N321" s="28"/>
      <c r="O321" s="28"/>
      <c r="P321" s="28"/>
      <c r="Q321" s="5"/>
      <c r="R321" s="5"/>
      <c r="S321" s="5"/>
      <c r="T321" s="5"/>
      <c r="U321" s="5"/>
      <c r="V321" s="5"/>
      <c r="W321" s="28"/>
      <c r="X321" s="28"/>
      <c r="Y321" s="28"/>
      <c r="Z321" s="5"/>
      <c r="AA321" s="5"/>
      <c r="AB321" s="28"/>
      <c r="AC321" s="28"/>
      <c r="AD321" s="11"/>
      <c r="AE321" s="5"/>
      <c r="AF321" s="5"/>
      <c r="AG321" s="5"/>
      <c r="AH321" s="5"/>
      <c r="AI321" s="5"/>
      <c r="AJ321" s="5"/>
      <c r="AK321" s="5"/>
      <c r="AL321" s="5"/>
      <c r="AM321" s="5"/>
      <c r="AN321" s="17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28"/>
      <c r="BA321" s="5"/>
      <c r="BB321" s="5"/>
      <c r="BC321" s="5"/>
      <c r="BD321" s="5"/>
      <c r="BE321" s="5"/>
      <c r="BF321" s="28"/>
      <c r="BG321" s="28"/>
      <c r="BH321" s="5"/>
      <c r="BI321" s="5"/>
      <c r="BJ321" s="5">
        <f t="shared" si="11"/>
        <v>10</v>
      </c>
      <c r="BK321" s="42" t="s">
        <v>22</v>
      </c>
      <c r="BL321" s="42"/>
      <c r="BM321" s="13"/>
    </row>
    <row r="322" spans="1:65" s="8" customFormat="1" ht="11.25">
      <c r="A322" s="44" t="s">
        <v>281</v>
      </c>
      <c r="B322" s="9" t="s">
        <v>48</v>
      </c>
      <c r="C322" s="9" t="s">
        <v>54</v>
      </c>
      <c r="D322" s="21" t="s">
        <v>22</v>
      </c>
      <c r="E322" s="28">
        <v>10</v>
      </c>
      <c r="F322" s="28"/>
      <c r="G322" s="5"/>
      <c r="H322" s="34"/>
      <c r="I322" s="28"/>
      <c r="J322" s="28"/>
      <c r="K322" s="28"/>
      <c r="L322" s="28"/>
      <c r="M322" s="28"/>
      <c r="N322" s="28"/>
      <c r="O322" s="28"/>
      <c r="P322" s="28"/>
      <c r="Q322" s="5"/>
      <c r="R322" s="5"/>
      <c r="S322" s="5"/>
      <c r="T322" s="5"/>
      <c r="U322" s="5"/>
      <c r="V322" s="5"/>
      <c r="W322" s="28"/>
      <c r="X322" s="28"/>
      <c r="Y322" s="28"/>
      <c r="Z322" s="5"/>
      <c r="AA322" s="5"/>
      <c r="AB322" s="28"/>
      <c r="AC322" s="28"/>
      <c r="AD322" s="11"/>
      <c r="AE322" s="5"/>
      <c r="AF322" s="5"/>
      <c r="AG322" s="5"/>
      <c r="AH322" s="5"/>
      <c r="AI322" s="5"/>
      <c r="AJ322" s="5"/>
      <c r="AK322" s="5"/>
      <c r="AL322" s="5"/>
      <c r="AM322" s="5"/>
      <c r="AN322" s="17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28"/>
      <c r="BA322" s="5"/>
      <c r="BB322" s="5"/>
      <c r="BC322" s="5"/>
      <c r="BD322" s="5"/>
      <c r="BE322" s="5"/>
      <c r="BF322" s="28"/>
      <c r="BG322" s="28"/>
      <c r="BH322" s="5"/>
      <c r="BI322" s="5"/>
      <c r="BJ322" s="5">
        <f t="shared" si="11"/>
        <v>10</v>
      </c>
      <c r="BK322" s="42" t="s">
        <v>22</v>
      </c>
      <c r="BL322" s="42"/>
      <c r="BM322" s="13"/>
    </row>
    <row r="323" spans="1:65" s="9" customFormat="1" ht="11.25">
      <c r="A323" s="45" t="s">
        <v>282</v>
      </c>
      <c r="B323" s="22" t="s">
        <v>2</v>
      </c>
      <c r="C323" s="9" t="s">
        <v>3</v>
      </c>
      <c r="D323" s="21" t="s">
        <v>22</v>
      </c>
      <c r="E323" s="27">
        <v>15</v>
      </c>
      <c r="F323" s="27">
        <v>3</v>
      </c>
      <c r="G323" s="4">
        <v>10</v>
      </c>
      <c r="H323" s="34"/>
      <c r="I323" s="27"/>
      <c r="J323" s="27"/>
      <c r="K323" s="27"/>
      <c r="L323" s="27"/>
      <c r="M323" s="27"/>
      <c r="N323" s="27"/>
      <c r="O323" s="27"/>
      <c r="P323" s="27"/>
      <c r="Q323" s="4"/>
      <c r="R323" s="4"/>
      <c r="S323" s="4"/>
      <c r="T323" s="4"/>
      <c r="U323" s="4"/>
      <c r="V323" s="4"/>
      <c r="W323" s="27"/>
      <c r="X323" s="27"/>
      <c r="Y323" s="27"/>
      <c r="Z323" s="4"/>
      <c r="AA323" s="4"/>
      <c r="AB323" s="27"/>
      <c r="AC323" s="27"/>
      <c r="AD323" s="10"/>
      <c r="AE323" s="4"/>
      <c r="AF323" s="4"/>
      <c r="AG323" s="4"/>
      <c r="AH323" s="4"/>
      <c r="AI323" s="4"/>
      <c r="AJ323" s="4"/>
      <c r="AK323" s="4"/>
      <c r="AL323" s="4"/>
      <c r="AM323" s="4"/>
      <c r="AN323" s="17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27"/>
      <c r="BA323" s="4"/>
      <c r="BB323" s="4"/>
      <c r="BC323" s="4"/>
      <c r="BD323" s="4"/>
      <c r="BE323" s="4"/>
      <c r="BF323" s="27"/>
      <c r="BG323" s="27"/>
      <c r="BH323" s="4"/>
      <c r="BI323" s="4"/>
      <c r="BJ323" s="5">
        <f t="shared" si="11"/>
        <v>28</v>
      </c>
      <c r="BK323" s="42" t="s">
        <v>22</v>
      </c>
      <c r="BL323" s="42"/>
      <c r="BM323" s="51"/>
    </row>
    <row r="324" spans="1:65" s="9" customFormat="1" ht="11.25">
      <c r="A324" s="43" t="s">
        <v>283</v>
      </c>
      <c r="B324" s="9" t="s">
        <v>2</v>
      </c>
      <c r="C324" s="9" t="s">
        <v>6</v>
      </c>
      <c r="D324" s="21" t="s">
        <v>22</v>
      </c>
      <c r="E324" s="27"/>
      <c r="F324" s="27">
        <v>3</v>
      </c>
      <c r="G324" s="4"/>
      <c r="H324" s="34"/>
      <c r="I324" s="27"/>
      <c r="J324" s="27"/>
      <c r="K324" s="27"/>
      <c r="L324" s="27"/>
      <c r="M324" s="27"/>
      <c r="N324" s="27"/>
      <c r="O324" s="27"/>
      <c r="P324" s="27"/>
      <c r="Q324" s="4"/>
      <c r="R324" s="4"/>
      <c r="S324" s="4"/>
      <c r="T324" s="4"/>
      <c r="U324" s="4"/>
      <c r="V324" s="4"/>
      <c r="W324" s="27"/>
      <c r="X324" s="27"/>
      <c r="Y324" s="27"/>
      <c r="Z324" s="4"/>
      <c r="AA324" s="4"/>
      <c r="AB324" s="27"/>
      <c r="AC324" s="27"/>
      <c r="AD324" s="10"/>
      <c r="AE324" s="4"/>
      <c r="AF324" s="4"/>
      <c r="AG324" s="4"/>
      <c r="AH324" s="4"/>
      <c r="AI324" s="4"/>
      <c r="AJ324" s="4"/>
      <c r="AK324" s="4"/>
      <c r="AL324" s="4"/>
      <c r="AM324" s="4"/>
      <c r="AN324" s="17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27"/>
      <c r="BA324" s="4"/>
      <c r="BB324" s="4"/>
      <c r="BC324" s="4"/>
      <c r="BD324" s="4"/>
      <c r="BE324" s="4"/>
      <c r="BF324" s="27"/>
      <c r="BG324" s="27"/>
      <c r="BH324" s="4"/>
      <c r="BI324" s="4"/>
      <c r="BJ324" s="5">
        <f t="shared" si="11"/>
        <v>3</v>
      </c>
      <c r="BK324" s="42" t="s">
        <v>22</v>
      </c>
      <c r="BL324" s="42"/>
      <c r="BM324" s="51"/>
    </row>
    <row r="325" spans="1:65" s="9" customFormat="1" ht="11.25">
      <c r="A325" s="43" t="s">
        <v>284</v>
      </c>
      <c r="B325" s="9" t="s">
        <v>2</v>
      </c>
      <c r="C325" s="9" t="s">
        <v>4</v>
      </c>
      <c r="D325" s="21" t="s">
        <v>22</v>
      </c>
      <c r="E325" s="27"/>
      <c r="F325" s="27">
        <v>3</v>
      </c>
      <c r="G325" s="4"/>
      <c r="H325" s="34"/>
      <c r="I325" s="27"/>
      <c r="J325" s="27">
        <v>3</v>
      </c>
      <c r="K325" s="27"/>
      <c r="L325" s="27"/>
      <c r="M325" s="27"/>
      <c r="N325" s="27"/>
      <c r="O325" s="27"/>
      <c r="P325" s="27"/>
      <c r="Q325" s="4"/>
      <c r="R325" s="4"/>
      <c r="S325" s="4"/>
      <c r="T325" s="4"/>
      <c r="U325" s="4"/>
      <c r="V325" s="4"/>
      <c r="W325" s="27"/>
      <c r="X325" s="27"/>
      <c r="Y325" s="27"/>
      <c r="Z325" s="4"/>
      <c r="AA325" s="4"/>
      <c r="AB325" s="27"/>
      <c r="AC325" s="27"/>
      <c r="AD325" s="10"/>
      <c r="AE325" s="4"/>
      <c r="AF325" s="4"/>
      <c r="AG325" s="4"/>
      <c r="AH325" s="4"/>
      <c r="AI325" s="4"/>
      <c r="AJ325" s="4"/>
      <c r="AK325" s="4"/>
      <c r="AL325" s="4"/>
      <c r="AM325" s="4"/>
      <c r="AN325" s="17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27"/>
      <c r="BA325" s="4"/>
      <c r="BB325" s="4"/>
      <c r="BC325" s="4"/>
      <c r="BD325" s="4"/>
      <c r="BE325" s="4"/>
      <c r="BF325" s="27"/>
      <c r="BG325" s="27"/>
      <c r="BH325" s="4"/>
      <c r="BI325" s="4"/>
      <c r="BJ325" s="5">
        <f t="shared" si="11"/>
        <v>6</v>
      </c>
      <c r="BK325" s="42" t="s">
        <v>22</v>
      </c>
      <c r="BL325" s="42"/>
      <c r="BM325" s="51"/>
    </row>
    <row r="326" spans="1:65" s="9" customFormat="1" ht="11.25">
      <c r="A326" s="43" t="s">
        <v>285</v>
      </c>
      <c r="B326" s="9" t="s">
        <v>2</v>
      </c>
      <c r="C326" s="9" t="s">
        <v>5</v>
      </c>
      <c r="D326" s="21" t="s">
        <v>22</v>
      </c>
      <c r="E326" s="27"/>
      <c r="F326" s="27">
        <v>3</v>
      </c>
      <c r="G326" s="4"/>
      <c r="H326" s="34"/>
      <c r="I326" s="27"/>
      <c r="J326" s="27"/>
      <c r="K326" s="27"/>
      <c r="L326" s="27"/>
      <c r="M326" s="27"/>
      <c r="N326" s="27"/>
      <c r="O326" s="27"/>
      <c r="P326" s="27"/>
      <c r="Q326" s="4"/>
      <c r="R326" s="4"/>
      <c r="S326" s="4"/>
      <c r="T326" s="4"/>
      <c r="U326" s="4"/>
      <c r="V326" s="4"/>
      <c r="W326" s="27"/>
      <c r="X326" s="27"/>
      <c r="Y326" s="27"/>
      <c r="Z326" s="4"/>
      <c r="AA326" s="4"/>
      <c r="AB326" s="27"/>
      <c r="AC326" s="27"/>
      <c r="AD326" s="10"/>
      <c r="AE326" s="4"/>
      <c r="AF326" s="4"/>
      <c r="AG326" s="4"/>
      <c r="AH326" s="4"/>
      <c r="AI326" s="4"/>
      <c r="AJ326" s="4"/>
      <c r="AK326" s="4"/>
      <c r="AL326" s="4"/>
      <c r="AM326" s="4"/>
      <c r="AN326" s="17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27"/>
      <c r="BA326" s="4"/>
      <c r="BB326" s="4"/>
      <c r="BC326" s="4"/>
      <c r="BD326" s="4"/>
      <c r="BE326" s="4"/>
      <c r="BF326" s="27"/>
      <c r="BG326" s="27"/>
      <c r="BH326" s="4"/>
      <c r="BI326" s="4"/>
      <c r="BJ326" s="5">
        <f t="shared" si="11"/>
        <v>3</v>
      </c>
      <c r="BK326" s="42" t="s">
        <v>22</v>
      </c>
      <c r="BL326" s="42"/>
      <c r="BM326" s="51"/>
    </row>
    <row r="327" spans="1:65" s="9" customFormat="1" ht="11.25">
      <c r="A327" s="43" t="s">
        <v>286</v>
      </c>
      <c r="B327" s="9" t="s">
        <v>2</v>
      </c>
      <c r="C327" s="9" t="s">
        <v>75</v>
      </c>
      <c r="D327" s="21" t="s">
        <v>22</v>
      </c>
      <c r="E327" s="27"/>
      <c r="F327" s="27">
        <v>2</v>
      </c>
      <c r="G327" s="4"/>
      <c r="H327" s="34"/>
      <c r="I327" s="27"/>
      <c r="J327" s="27"/>
      <c r="K327" s="27"/>
      <c r="L327" s="27"/>
      <c r="M327" s="27"/>
      <c r="N327" s="27"/>
      <c r="O327" s="27"/>
      <c r="P327" s="27"/>
      <c r="Q327" s="4"/>
      <c r="R327" s="4"/>
      <c r="S327" s="4"/>
      <c r="T327" s="4"/>
      <c r="U327" s="4"/>
      <c r="V327" s="4"/>
      <c r="W327" s="27"/>
      <c r="X327" s="27"/>
      <c r="Y327" s="27"/>
      <c r="Z327" s="4"/>
      <c r="AA327" s="4"/>
      <c r="AB327" s="27"/>
      <c r="AC327" s="27"/>
      <c r="AD327" s="10"/>
      <c r="AE327" s="4"/>
      <c r="AF327" s="4"/>
      <c r="AG327" s="4"/>
      <c r="AH327" s="4"/>
      <c r="AI327" s="4"/>
      <c r="AJ327" s="4"/>
      <c r="AK327" s="4"/>
      <c r="AL327" s="4"/>
      <c r="AM327" s="4"/>
      <c r="AN327" s="17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27"/>
      <c r="BA327" s="4"/>
      <c r="BB327" s="4"/>
      <c r="BC327" s="4"/>
      <c r="BD327" s="4"/>
      <c r="BE327" s="4"/>
      <c r="BF327" s="27"/>
      <c r="BG327" s="27"/>
      <c r="BH327" s="4"/>
      <c r="BI327" s="4"/>
      <c r="BJ327" s="5">
        <f t="shared" si="11"/>
        <v>2</v>
      </c>
      <c r="BK327" s="42" t="s">
        <v>22</v>
      </c>
      <c r="BL327" s="42"/>
      <c r="BM327" s="51"/>
    </row>
    <row r="328" spans="1:65" s="9" customFormat="1" ht="11.25">
      <c r="A328" s="43" t="s">
        <v>287</v>
      </c>
      <c r="B328" s="9" t="s">
        <v>2</v>
      </c>
      <c r="C328" s="9" t="s">
        <v>158</v>
      </c>
      <c r="D328" s="21" t="s">
        <v>22</v>
      </c>
      <c r="E328" s="27"/>
      <c r="F328" s="27">
        <v>2</v>
      </c>
      <c r="G328" s="4"/>
      <c r="H328" s="34"/>
      <c r="I328" s="27"/>
      <c r="J328" s="27"/>
      <c r="K328" s="27"/>
      <c r="L328" s="27"/>
      <c r="M328" s="27"/>
      <c r="N328" s="27"/>
      <c r="O328" s="27"/>
      <c r="P328" s="27"/>
      <c r="Q328" s="4"/>
      <c r="R328" s="4"/>
      <c r="S328" s="4"/>
      <c r="T328" s="4"/>
      <c r="U328" s="4"/>
      <c r="V328" s="4"/>
      <c r="W328" s="27"/>
      <c r="X328" s="27"/>
      <c r="Y328" s="27"/>
      <c r="Z328" s="4"/>
      <c r="AA328" s="4"/>
      <c r="AB328" s="27"/>
      <c r="AC328" s="27"/>
      <c r="AD328" s="10"/>
      <c r="AE328" s="4"/>
      <c r="AF328" s="4"/>
      <c r="AG328" s="4"/>
      <c r="AH328" s="4"/>
      <c r="AI328" s="4"/>
      <c r="AJ328" s="4"/>
      <c r="AK328" s="4"/>
      <c r="AL328" s="4"/>
      <c r="AM328" s="4"/>
      <c r="AN328" s="17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27"/>
      <c r="BA328" s="4"/>
      <c r="BB328" s="4"/>
      <c r="BC328" s="4"/>
      <c r="BD328" s="4"/>
      <c r="BE328" s="4"/>
      <c r="BF328" s="27"/>
      <c r="BG328" s="27"/>
      <c r="BH328" s="4"/>
      <c r="BI328" s="4"/>
      <c r="BJ328" s="5">
        <f t="shared" si="11"/>
        <v>2</v>
      </c>
      <c r="BK328" s="42" t="s">
        <v>22</v>
      </c>
      <c r="BL328" s="42"/>
      <c r="BM328" s="51"/>
    </row>
    <row r="329" spans="1:65" s="9" customFormat="1" ht="11.25">
      <c r="A329" s="43" t="s">
        <v>288</v>
      </c>
      <c r="B329" s="9" t="s">
        <v>79</v>
      </c>
      <c r="C329" s="9" t="str">
        <f>"50X3 A/5"</f>
        <v>50X3 A/5</v>
      </c>
      <c r="D329" s="17" t="s">
        <v>23</v>
      </c>
      <c r="E329" s="27"/>
      <c r="F329" s="27"/>
      <c r="G329" s="4"/>
      <c r="H329" s="34"/>
      <c r="I329" s="27"/>
      <c r="J329" s="27"/>
      <c r="K329" s="27"/>
      <c r="L329" s="27"/>
      <c r="M329" s="27"/>
      <c r="N329" s="27">
        <v>1</v>
      </c>
      <c r="O329" s="27"/>
      <c r="P329" s="27"/>
      <c r="Q329" s="4"/>
      <c r="R329" s="4"/>
      <c r="S329" s="4"/>
      <c r="T329" s="4"/>
      <c r="U329" s="4"/>
      <c r="V329" s="4"/>
      <c r="W329" s="27"/>
      <c r="X329" s="27"/>
      <c r="Y329" s="27"/>
      <c r="Z329" s="4"/>
      <c r="AA329" s="4"/>
      <c r="AB329" s="27"/>
      <c r="AC329" s="27"/>
      <c r="AD329" s="10"/>
      <c r="AE329" s="4"/>
      <c r="AF329" s="4"/>
      <c r="AG329" s="4"/>
      <c r="AH329" s="4"/>
      <c r="AI329" s="4"/>
      <c r="AJ329" s="4"/>
      <c r="AK329" s="4"/>
      <c r="AL329" s="4"/>
      <c r="AM329" s="4"/>
      <c r="AN329" s="17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27"/>
      <c r="BA329" s="4"/>
      <c r="BB329" s="4"/>
      <c r="BC329" s="4"/>
      <c r="BD329" s="4"/>
      <c r="BE329" s="4"/>
      <c r="BF329" s="27"/>
      <c r="BG329" s="27"/>
      <c r="BH329" s="4">
        <v>2</v>
      </c>
      <c r="BI329" s="4"/>
      <c r="BJ329" s="5">
        <f t="shared" si="11"/>
        <v>3</v>
      </c>
      <c r="BK329" s="41" t="s">
        <v>23</v>
      </c>
      <c r="BL329" s="41"/>
      <c r="BM329" s="51"/>
    </row>
    <row r="330" spans="1:65" s="9" customFormat="1" ht="11.25">
      <c r="A330" s="43" t="s">
        <v>289</v>
      </c>
      <c r="B330" s="9" t="s">
        <v>96</v>
      </c>
      <c r="C330" s="9" t="s">
        <v>10</v>
      </c>
      <c r="D330" s="21" t="s">
        <v>22</v>
      </c>
      <c r="E330" s="27">
        <v>1</v>
      </c>
      <c r="F330" s="27"/>
      <c r="G330" s="4">
        <v>5</v>
      </c>
      <c r="H330" s="34"/>
      <c r="I330" s="27"/>
      <c r="J330" s="27"/>
      <c r="K330" s="27"/>
      <c r="L330" s="27"/>
      <c r="M330" s="27"/>
      <c r="N330" s="27"/>
      <c r="O330" s="27"/>
      <c r="P330" s="27"/>
      <c r="Q330" s="4"/>
      <c r="R330" s="4"/>
      <c r="S330" s="4"/>
      <c r="T330" s="4"/>
      <c r="U330" s="4"/>
      <c r="V330" s="4"/>
      <c r="W330" s="27"/>
      <c r="X330" s="27"/>
      <c r="Y330" s="27"/>
      <c r="Z330" s="4"/>
      <c r="AA330" s="4"/>
      <c r="AB330" s="27"/>
      <c r="AC330" s="27"/>
      <c r="AD330" s="10"/>
      <c r="AE330" s="4"/>
      <c r="AF330" s="4"/>
      <c r="AG330" s="4"/>
      <c r="AH330" s="4"/>
      <c r="AI330" s="4"/>
      <c r="AJ330" s="4"/>
      <c r="AK330" s="4"/>
      <c r="AL330" s="4"/>
      <c r="AM330" s="4"/>
      <c r="AN330" s="17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27"/>
      <c r="BA330" s="4"/>
      <c r="BB330" s="4"/>
      <c r="BC330" s="4"/>
      <c r="BD330" s="4"/>
      <c r="BE330" s="4"/>
      <c r="BF330" s="27"/>
      <c r="BG330" s="27"/>
      <c r="BH330" s="4">
        <v>2</v>
      </c>
      <c r="BI330" s="4"/>
      <c r="BJ330" s="5">
        <f t="shared" si="11"/>
        <v>8</v>
      </c>
      <c r="BK330" s="42" t="s">
        <v>22</v>
      </c>
      <c r="BL330" s="42"/>
      <c r="BM330" s="51"/>
    </row>
    <row r="331" spans="1:67" s="9" customFormat="1" ht="11.25">
      <c r="A331" s="43" t="s">
        <v>290</v>
      </c>
      <c r="B331" s="9" t="s">
        <v>96</v>
      </c>
      <c r="C331" s="9" t="s">
        <v>11</v>
      </c>
      <c r="D331" s="21" t="s">
        <v>22</v>
      </c>
      <c r="E331" s="27">
        <v>1</v>
      </c>
      <c r="F331" s="27">
        <v>2</v>
      </c>
      <c r="G331" s="4">
        <v>5</v>
      </c>
      <c r="H331" s="34"/>
      <c r="I331" s="27"/>
      <c r="J331" s="27"/>
      <c r="K331" s="27"/>
      <c r="L331" s="27"/>
      <c r="M331" s="27"/>
      <c r="N331" s="27"/>
      <c r="O331" s="27"/>
      <c r="P331" s="27"/>
      <c r="Q331" s="4"/>
      <c r="R331" s="4"/>
      <c r="S331" s="4"/>
      <c r="T331" s="4"/>
      <c r="U331" s="4"/>
      <c r="V331" s="4"/>
      <c r="W331" s="27"/>
      <c r="X331" s="27"/>
      <c r="Y331" s="27"/>
      <c r="Z331" s="4"/>
      <c r="AA331" s="4"/>
      <c r="AB331" s="27"/>
      <c r="AC331" s="27"/>
      <c r="AD331" s="10"/>
      <c r="AE331" s="4"/>
      <c r="AF331" s="4"/>
      <c r="AG331" s="4"/>
      <c r="AH331" s="4"/>
      <c r="AI331" s="4"/>
      <c r="AJ331" s="4"/>
      <c r="AK331" s="4"/>
      <c r="AL331" s="4"/>
      <c r="AM331" s="4"/>
      <c r="AN331" s="17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27"/>
      <c r="BA331" s="4"/>
      <c r="BB331" s="4"/>
      <c r="BC331" s="4"/>
      <c r="BD331" s="4"/>
      <c r="BE331" s="4"/>
      <c r="BF331" s="27"/>
      <c r="BG331" s="27"/>
      <c r="BH331" s="4">
        <v>2</v>
      </c>
      <c r="BI331" s="4"/>
      <c r="BJ331" s="5">
        <f t="shared" si="11"/>
        <v>10</v>
      </c>
      <c r="BK331" s="42" t="s">
        <v>22</v>
      </c>
      <c r="BL331" s="42"/>
      <c r="BM331" s="51"/>
      <c r="BO331" s="8"/>
    </row>
    <row r="332" spans="1:65" s="9" customFormat="1" ht="11.25">
      <c r="A332" s="43" t="s">
        <v>291</v>
      </c>
      <c r="B332" s="9" t="s">
        <v>96</v>
      </c>
      <c r="C332" s="9" t="s">
        <v>9</v>
      </c>
      <c r="D332" s="21" t="s">
        <v>22</v>
      </c>
      <c r="E332" s="27">
        <v>1</v>
      </c>
      <c r="F332" s="27"/>
      <c r="G332" s="4">
        <v>5</v>
      </c>
      <c r="H332" s="34"/>
      <c r="I332" s="27"/>
      <c r="J332" s="27"/>
      <c r="K332" s="27"/>
      <c r="L332" s="27"/>
      <c r="M332" s="27"/>
      <c r="N332" s="27"/>
      <c r="O332" s="27"/>
      <c r="P332" s="27"/>
      <c r="Q332" s="4"/>
      <c r="R332" s="4"/>
      <c r="S332" s="4"/>
      <c r="T332" s="4"/>
      <c r="U332" s="4"/>
      <c r="V332" s="4"/>
      <c r="W332" s="27"/>
      <c r="X332" s="27"/>
      <c r="Y332" s="27"/>
      <c r="Z332" s="4">
        <v>2</v>
      </c>
      <c r="AA332" s="4"/>
      <c r="AB332" s="27"/>
      <c r="AC332" s="27"/>
      <c r="AD332" s="10"/>
      <c r="AE332" s="4"/>
      <c r="AF332" s="4"/>
      <c r="AG332" s="4"/>
      <c r="AH332" s="4"/>
      <c r="AI332" s="4"/>
      <c r="AJ332" s="4"/>
      <c r="AK332" s="4"/>
      <c r="AL332" s="4"/>
      <c r="AM332" s="4"/>
      <c r="AN332" s="17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27">
        <v>3</v>
      </c>
      <c r="BA332" s="4"/>
      <c r="BB332" s="4"/>
      <c r="BC332" s="4"/>
      <c r="BD332" s="4"/>
      <c r="BE332" s="4">
        <v>1</v>
      </c>
      <c r="BF332" s="27"/>
      <c r="BG332" s="27"/>
      <c r="BH332" s="4">
        <v>4</v>
      </c>
      <c r="BI332" s="4"/>
      <c r="BJ332" s="5">
        <f t="shared" si="11"/>
        <v>16</v>
      </c>
      <c r="BK332" s="42" t="s">
        <v>22</v>
      </c>
      <c r="BL332" s="42"/>
      <c r="BM332" s="51"/>
    </row>
    <row r="333" spans="1:65" s="8" customFormat="1" ht="11.25">
      <c r="A333" s="44" t="s">
        <v>292</v>
      </c>
      <c r="B333" s="9" t="s">
        <v>96</v>
      </c>
      <c r="C333" s="9" t="s">
        <v>156</v>
      </c>
      <c r="D333" s="21" t="s">
        <v>22</v>
      </c>
      <c r="E333" s="27">
        <v>1</v>
      </c>
      <c r="F333" s="27"/>
      <c r="G333" s="4">
        <v>5</v>
      </c>
      <c r="H333" s="34"/>
      <c r="I333" s="27"/>
      <c r="J333" s="27"/>
      <c r="K333" s="27"/>
      <c r="L333" s="27"/>
      <c r="M333" s="27"/>
      <c r="N333" s="27"/>
      <c r="O333" s="27"/>
      <c r="P333" s="27"/>
      <c r="Q333" s="4"/>
      <c r="R333" s="4"/>
      <c r="S333" s="4"/>
      <c r="T333" s="4"/>
      <c r="U333" s="4"/>
      <c r="V333" s="4"/>
      <c r="W333" s="27"/>
      <c r="X333" s="27"/>
      <c r="Y333" s="27"/>
      <c r="Z333" s="4"/>
      <c r="AA333" s="4"/>
      <c r="AB333" s="27"/>
      <c r="AC333" s="27"/>
      <c r="AD333" s="10"/>
      <c r="AE333" s="4"/>
      <c r="AF333" s="4"/>
      <c r="AG333" s="4"/>
      <c r="AH333" s="4"/>
      <c r="AI333" s="4"/>
      <c r="AJ333" s="4"/>
      <c r="AK333" s="4"/>
      <c r="AL333" s="4"/>
      <c r="AM333" s="4"/>
      <c r="AN333" s="17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27"/>
      <c r="BA333" s="4"/>
      <c r="BB333" s="4"/>
      <c r="BC333" s="4"/>
      <c r="BD333" s="4"/>
      <c r="BE333" s="4"/>
      <c r="BF333" s="27"/>
      <c r="BG333" s="27"/>
      <c r="BH333" s="4">
        <v>2</v>
      </c>
      <c r="BI333" s="4"/>
      <c r="BJ333" s="5">
        <f t="shared" si="11"/>
        <v>8</v>
      </c>
      <c r="BK333" s="42" t="s">
        <v>22</v>
      </c>
      <c r="BL333" s="42"/>
      <c r="BM333" s="13"/>
    </row>
    <row r="334" spans="1:65" s="8" customFormat="1" ht="11.25">
      <c r="A334" s="44" t="s">
        <v>293</v>
      </c>
      <c r="B334" s="9" t="s">
        <v>166</v>
      </c>
      <c r="C334" s="9" t="s">
        <v>167</v>
      </c>
      <c r="D334" s="21" t="s">
        <v>22</v>
      </c>
      <c r="E334" s="27"/>
      <c r="F334" s="27"/>
      <c r="G334" s="4"/>
      <c r="H334" s="34"/>
      <c r="I334" s="27"/>
      <c r="J334" s="27"/>
      <c r="K334" s="27"/>
      <c r="L334" s="27"/>
      <c r="M334" s="27"/>
      <c r="N334" s="27"/>
      <c r="O334" s="27"/>
      <c r="P334" s="27"/>
      <c r="Q334" s="4"/>
      <c r="R334" s="4"/>
      <c r="S334" s="4"/>
      <c r="T334" s="4"/>
      <c r="U334" s="4"/>
      <c r="V334" s="4"/>
      <c r="W334" s="27"/>
      <c r="X334" s="27"/>
      <c r="Y334" s="27"/>
      <c r="Z334" s="4"/>
      <c r="AA334" s="4"/>
      <c r="AB334" s="27"/>
      <c r="AC334" s="27"/>
      <c r="AD334" s="10"/>
      <c r="AE334" s="4"/>
      <c r="AF334" s="4"/>
      <c r="AG334" s="4"/>
      <c r="AH334" s="4"/>
      <c r="AI334" s="4"/>
      <c r="AJ334" s="4"/>
      <c r="AK334" s="4"/>
      <c r="AL334" s="4"/>
      <c r="AM334" s="4"/>
      <c r="AN334" s="17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27"/>
      <c r="BA334" s="4"/>
      <c r="BB334" s="4"/>
      <c r="BC334" s="4"/>
      <c r="BD334" s="4">
        <v>1</v>
      </c>
      <c r="BE334" s="4"/>
      <c r="BF334" s="27"/>
      <c r="BG334" s="27"/>
      <c r="BH334" s="4"/>
      <c r="BI334" s="4"/>
      <c r="BJ334" s="5">
        <f t="shared" si="11"/>
        <v>1</v>
      </c>
      <c r="BK334" s="42" t="s">
        <v>22</v>
      </c>
      <c r="BL334" s="42"/>
      <c r="BM334" s="13"/>
    </row>
    <row r="335" spans="1:65" s="8" customFormat="1" ht="11.25">
      <c r="A335" s="44" t="s">
        <v>294</v>
      </c>
      <c r="B335" s="9" t="str">
        <f>"TÉPŐTÖMB (FEHÉR)"</f>
        <v>TÉPŐTÖMB (FEHÉR)</v>
      </c>
      <c r="C335" s="9" t="str">
        <f>"100X100 MM"</f>
        <v>100X100 MM</v>
      </c>
      <c r="D335" s="21" t="s">
        <v>22</v>
      </c>
      <c r="E335" s="28">
        <v>5</v>
      </c>
      <c r="F335" s="28">
        <v>5</v>
      </c>
      <c r="G335" s="5"/>
      <c r="H335" s="34"/>
      <c r="I335" s="28"/>
      <c r="J335" s="28"/>
      <c r="K335" s="28"/>
      <c r="L335" s="28"/>
      <c r="M335" s="28"/>
      <c r="N335" s="28"/>
      <c r="O335" s="28">
        <v>3</v>
      </c>
      <c r="P335" s="28"/>
      <c r="Q335" s="5"/>
      <c r="R335" s="5"/>
      <c r="S335" s="5"/>
      <c r="T335" s="5"/>
      <c r="U335" s="5"/>
      <c r="V335" s="5"/>
      <c r="W335" s="28"/>
      <c r="X335" s="28"/>
      <c r="Y335" s="28"/>
      <c r="Z335" s="5"/>
      <c r="AA335" s="5"/>
      <c r="AB335" s="28">
        <v>1</v>
      </c>
      <c r="AC335" s="28">
        <v>1</v>
      </c>
      <c r="AD335" s="11"/>
      <c r="AE335" s="5"/>
      <c r="AF335" s="5"/>
      <c r="AG335" s="5"/>
      <c r="AH335" s="5"/>
      <c r="AI335" s="5"/>
      <c r="AJ335" s="5"/>
      <c r="AK335" s="5"/>
      <c r="AL335" s="5"/>
      <c r="AM335" s="5"/>
      <c r="AN335" s="17"/>
      <c r="AO335" s="5"/>
      <c r="AP335" s="5"/>
      <c r="AQ335" s="5"/>
      <c r="AR335" s="5"/>
      <c r="AS335" s="5">
        <v>1</v>
      </c>
      <c r="AT335" s="5"/>
      <c r="AU335" s="5">
        <v>1</v>
      </c>
      <c r="AV335" s="5"/>
      <c r="AW335" s="5">
        <v>1</v>
      </c>
      <c r="AX335" s="5"/>
      <c r="AY335" s="5"/>
      <c r="AZ335" s="28"/>
      <c r="BA335" s="5"/>
      <c r="BB335" s="5"/>
      <c r="BC335" s="5"/>
      <c r="BD335" s="5"/>
      <c r="BE335" s="5"/>
      <c r="BF335" s="28">
        <v>2</v>
      </c>
      <c r="BG335" s="28"/>
      <c r="BH335" s="5"/>
      <c r="BI335" s="5"/>
      <c r="BJ335" s="5">
        <f t="shared" si="11"/>
        <v>20</v>
      </c>
      <c r="BK335" s="42" t="s">
        <v>22</v>
      </c>
      <c r="BL335" s="42"/>
      <c r="BM335" s="13"/>
    </row>
    <row r="336" spans="1:65" s="8" customFormat="1" ht="11.25">
      <c r="A336" s="44" t="s">
        <v>295</v>
      </c>
      <c r="B336" s="9" t="s">
        <v>17</v>
      </c>
      <c r="C336" s="9" t="str">
        <f>"050X040 MM"</f>
        <v>050X040 MM</v>
      </c>
      <c r="D336" s="21" t="s">
        <v>22</v>
      </c>
      <c r="E336" s="28">
        <v>5</v>
      </c>
      <c r="F336" s="28"/>
      <c r="G336" s="5"/>
      <c r="H336" s="34"/>
      <c r="I336" s="28"/>
      <c r="J336" s="28"/>
      <c r="K336" s="28"/>
      <c r="L336" s="28"/>
      <c r="M336" s="28"/>
      <c r="N336" s="28">
        <v>2</v>
      </c>
      <c r="O336" s="28"/>
      <c r="P336" s="28"/>
      <c r="Q336" s="5"/>
      <c r="R336" s="5"/>
      <c r="S336" s="5"/>
      <c r="T336" s="5"/>
      <c r="U336" s="5"/>
      <c r="V336" s="5"/>
      <c r="W336" s="28"/>
      <c r="X336" s="28"/>
      <c r="Y336" s="28"/>
      <c r="Z336" s="5"/>
      <c r="AA336" s="5"/>
      <c r="AB336" s="28"/>
      <c r="AC336" s="28"/>
      <c r="AD336" s="11"/>
      <c r="AE336" s="5"/>
      <c r="AF336" s="5"/>
      <c r="AG336" s="5"/>
      <c r="AH336" s="5"/>
      <c r="AI336" s="5"/>
      <c r="AJ336" s="5"/>
      <c r="AK336" s="5"/>
      <c r="AL336" s="5"/>
      <c r="AM336" s="5"/>
      <c r="AN336" s="17"/>
      <c r="AO336" s="5"/>
      <c r="AP336" s="5"/>
      <c r="AQ336" s="5"/>
      <c r="AR336" s="5"/>
      <c r="AS336" s="5"/>
      <c r="AT336" s="5"/>
      <c r="AU336" s="5"/>
      <c r="AV336" s="5"/>
      <c r="AW336" s="5">
        <v>1</v>
      </c>
      <c r="AX336" s="5"/>
      <c r="AY336" s="5"/>
      <c r="AZ336" s="28"/>
      <c r="BA336" s="5"/>
      <c r="BB336" s="5"/>
      <c r="BC336" s="5"/>
      <c r="BD336" s="5"/>
      <c r="BE336" s="5"/>
      <c r="BF336" s="28">
        <v>2</v>
      </c>
      <c r="BG336" s="28"/>
      <c r="BH336" s="5"/>
      <c r="BI336" s="5"/>
      <c r="BJ336" s="5">
        <f t="shared" si="11"/>
        <v>10</v>
      </c>
      <c r="BK336" s="42" t="s">
        <v>22</v>
      </c>
      <c r="BL336" s="42"/>
      <c r="BM336" s="13"/>
    </row>
    <row r="337" spans="1:65" s="8" customFormat="1" ht="11.25">
      <c r="A337" s="44" t="s">
        <v>296</v>
      </c>
      <c r="B337" s="9" t="s">
        <v>17</v>
      </c>
      <c r="C337" s="9" t="str">
        <f>"075X075 MM"</f>
        <v>075X075 MM</v>
      </c>
      <c r="D337" s="21" t="s">
        <v>22</v>
      </c>
      <c r="E337" s="28"/>
      <c r="F337" s="28">
        <v>4</v>
      </c>
      <c r="G337" s="5"/>
      <c r="H337" s="34"/>
      <c r="I337" s="28"/>
      <c r="J337" s="28"/>
      <c r="K337" s="28"/>
      <c r="L337" s="28"/>
      <c r="M337" s="28"/>
      <c r="N337" s="28">
        <v>2</v>
      </c>
      <c r="O337" s="28"/>
      <c r="P337" s="28"/>
      <c r="Q337" s="5"/>
      <c r="R337" s="5"/>
      <c r="S337" s="5"/>
      <c r="T337" s="5"/>
      <c r="U337" s="5"/>
      <c r="V337" s="5"/>
      <c r="W337" s="28"/>
      <c r="X337" s="28"/>
      <c r="Y337" s="28"/>
      <c r="Z337" s="5"/>
      <c r="AA337" s="5"/>
      <c r="AB337" s="28"/>
      <c r="AC337" s="28"/>
      <c r="AD337" s="11"/>
      <c r="AE337" s="5"/>
      <c r="AF337" s="5"/>
      <c r="AG337" s="5"/>
      <c r="AH337" s="5"/>
      <c r="AI337" s="5"/>
      <c r="AJ337" s="5"/>
      <c r="AK337" s="5"/>
      <c r="AL337" s="5"/>
      <c r="AM337" s="5"/>
      <c r="AN337" s="17"/>
      <c r="AO337" s="5"/>
      <c r="AP337" s="5"/>
      <c r="AQ337" s="5"/>
      <c r="AR337" s="5"/>
      <c r="AS337" s="5">
        <v>1</v>
      </c>
      <c r="AT337" s="5"/>
      <c r="AU337" s="5"/>
      <c r="AV337" s="5"/>
      <c r="AW337" s="5"/>
      <c r="AX337" s="5"/>
      <c r="AY337" s="5"/>
      <c r="AZ337" s="28"/>
      <c r="BA337" s="5"/>
      <c r="BB337" s="5"/>
      <c r="BC337" s="5"/>
      <c r="BD337" s="5"/>
      <c r="BE337" s="5"/>
      <c r="BF337" s="28"/>
      <c r="BG337" s="28"/>
      <c r="BH337" s="5"/>
      <c r="BI337" s="5"/>
      <c r="BJ337" s="5">
        <f t="shared" si="11"/>
        <v>7</v>
      </c>
      <c r="BK337" s="42" t="s">
        <v>22</v>
      </c>
      <c r="BL337" s="42"/>
      <c r="BM337" s="13"/>
    </row>
    <row r="338" spans="1:65" s="8" customFormat="1" ht="11.25">
      <c r="A338" s="44" t="s">
        <v>297</v>
      </c>
      <c r="B338" s="9" t="s">
        <v>18</v>
      </c>
      <c r="C338" s="9" t="s">
        <v>58</v>
      </c>
      <c r="D338" s="21" t="s">
        <v>22</v>
      </c>
      <c r="E338" s="28"/>
      <c r="F338" s="28">
        <v>2</v>
      </c>
      <c r="G338" s="5"/>
      <c r="H338" s="34"/>
      <c r="I338" s="28"/>
      <c r="J338" s="28"/>
      <c r="K338" s="28"/>
      <c r="L338" s="28"/>
      <c r="M338" s="28"/>
      <c r="N338" s="28"/>
      <c r="O338" s="28"/>
      <c r="P338" s="28"/>
      <c r="Q338" s="5"/>
      <c r="R338" s="5"/>
      <c r="S338" s="5"/>
      <c r="T338" s="5"/>
      <c r="U338" s="5"/>
      <c r="V338" s="5"/>
      <c r="W338" s="28"/>
      <c r="X338" s="28"/>
      <c r="Y338" s="28"/>
      <c r="Z338" s="5">
        <v>2</v>
      </c>
      <c r="AA338" s="5"/>
      <c r="AB338" s="28"/>
      <c r="AC338" s="28"/>
      <c r="AD338" s="11"/>
      <c r="AE338" s="5"/>
      <c r="AF338" s="5"/>
      <c r="AG338" s="5"/>
      <c r="AH338" s="5"/>
      <c r="AI338" s="5"/>
      <c r="AJ338" s="5"/>
      <c r="AK338" s="5"/>
      <c r="AL338" s="5"/>
      <c r="AM338" s="5"/>
      <c r="AN338" s="17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28"/>
      <c r="BA338" s="5"/>
      <c r="BB338" s="5"/>
      <c r="BC338" s="5"/>
      <c r="BD338" s="5"/>
      <c r="BE338" s="5"/>
      <c r="BF338" s="28"/>
      <c r="BG338" s="28"/>
      <c r="BH338" s="5"/>
      <c r="BI338" s="5"/>
      <c r="BJ338" s="5">
        <f t="shared" si="11"/>
        <v>4</v>
      </c>
      <c r="BK338" s="42" t="s">
        <v>22</v>
      </c>
      <c r="BL338" s="42"/>
      <c r="BM338" s="13"/>
    </row>
    <row r="339" spans="1:65" s="9" customFormat="1" ht="11.25">
      <c r="A339" s="43" t="s">
        <v>298</v>
      </c>
      <c r="B339" s="9" t="s">
        <v>101</v>
      </c>
      <c r="C339" s="9" t="s">
        <v>57</v>
      </c>
      <c r="D339" s="21" t="s">
        <v>22</v>
      </c>
      <c r="E339" s="28"/>
      <c r="F339" s="28"/>
      <c r="G339" s="5"/>
      <c r="H339" s="34"/>
      <c r="I339" s="28"/>
      <c r="J339" s="28"/>
      <c r="K339" s="28"/>
      <c r="L339" s="28"/>
      <c r="M339" s="28"/>
      <c r="N339" s="28"/>
      <c r="O339" s="28"/>
      <c r="P339" s="28"/>
      <c r="Q339" s="5"/>
      <c r="R339" s="5"/>
      <c r="S339" s="5"/>
      <c r="T339" s="5"/>
      <c r="U339" s="5"/>
      <c r="V339" s="5"/>
      <c r="W339" s="28"/>
      <c r="X339" s="28"/>
      <c r="Y339" s="28"/>
      <c r="Z339" s="5"/>
      <c r="AA339" s="5"/>
      <c r="AB339" s="28"/>
      <c r="AC339" s="28">
        <v>1</v>
      </c>
      <c r="AD339" s="11"/>
      <c r="AE339" s="5"/>
      <c r="AF339" s="5"/>
      <c r="AG339" s="5"/>
      <c r="AH339" s="5"/>
      <c r="AI339" s="5"/>
      <c r="AJ339" s="5"/>
      <c r="AK339" s="5"/>
      <c r="AL339" s="5"/>
      <c r="AM339" s="5"/>
      <c r="AN339" s="17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28"/>
      <c r="BA339" s="5"/>
      <c r="BB339" s="5"/>
      <c r="BC339" s="5"/>
      <c r="BD339" s="5"/>
      <c r="BE339" s="5"/>
      <c r="BF339" s="28"/>
      <c r="BG339" s="28"/>
      <c r="BH339" s="5"/>
      <c r="BI339" s="5"/>
      <c r="BJ339" s="5">
        <f t="shared" si="11"/>
        <v>1</v>
      </c>
      <c r="BK339" s="42" t="s">
        <v>22</v>
      </c>
      <c r="BL339" s="42"/>
      <c r="BM339" s="51"/>
    </row>
    <row r="340" spans="1:65" s="8" customFormat="1" ht="11.25">
      <c r="A340" s="44" t="s">
        <v>299</v>
      </c>
      <c r="B340" s="9" t="s">
        <v>86</v>
      </c>
      <c r="C340" s="9" t="s">
        <v>102</v>
      </c>
      <c r="D340" s="21" t="s">
        <v>22</v>
      </c>
      <c r="E340" s="28"/>
      <c r="F340" s="28">
        <v>2</v>
      </c>
      <c r="G340" s="5"/>
      <c r="H340" s="34"/>
      <c r="I340" s="28"/>
      <c r="J340" s="28"/>
      <c r="K340" s="28"/>
      <c r="L340" s="28"/>
      <c r="M340" s="28"/>
      <c r="N340" s="28"/>
      <c r="O340" s="28"/>
      <c r="P340" s="28"/>
      <c r="Q340" s="5"/>
      <c r="R340" s="5"/>
      <c r="S340" s="5"/>
      <c r="T340" s="5"/>
      <c r="U340" s="5"/>
      <c r="V340" s="5"/>
      <c r="W340" s="28"/>
      <c r="X340" s="28"/>
      <c r="Y340" s="28"/>
      <c r="Z340" s="5"/>
      <c r="AA340" s="5"/>
      <c r="AB340" s="28"/>
      <c r="AC340" s="28"/>
      <c r="AD340" s="11"/>
      <c r="AE340" s="5"/>
      <c r="AF340" s="5"/>
      <c r="AG340" s="5"/>
      <c r="AH340" s="5"/>
      <c r="AI340" s="5"/>
      <c r="AJ340" s="5"/>
      <c r="AK340" s="5"/>
      <c r="AL340" s="5"/>
      <c r="AM340" s="5"/>
      <c r="AN340" s="17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28"/>
      <c r="BA340" s="5"/>
      <c r="BB340" s="5"/>
      <c r="BC340" s="5"/>
      <c r="BD340" s="5"/>
      <c r="BE340" s="5"/>
      <c r="BF340" s="28"/>
      <c r="BG340" s="28"/>
      <c r="BH340" s="5"/>
      <c r="BI340" s="5"/>
      <c r="BJ340" s="5">
        <f t="shared" si="11"/>
        <v>2</v>
      </c>
      <c r="BK340" s="42" t="s">
        <v>22</v>
      </c>
      <c r="BL340" s="42"/>
      <c r="BM340" s="13"/>
    </row>
    <row r="341" spans="1:65" s="8" customFormat="1" ht="11.25">
      <c r="A341" s="44" t="s">
        <v>300</v>
      </c>
      <c r="B341" s="9" t="s">
        <v>28</v>
      </c>
      <c r="C341" s="9" t="s">
        <v>56</v>
      </c>
      <c r="D341" s="21" t="s">
        <v>30</v>
      </c>
      <c r="E341" s="27"/>
      <c r="F341" s="27"/>
      <c r="G341" s="4">
        <v>1</v>
      </c>
      <c r="H341" s="34"/>
      <c r="I341" s="27"/>
      <c r="J341" s="27"/>
      <c r="K341" s="27"/>
      <c r="L341" s="27"/>
      <c r="M341" s="27"/>
      <c r="N341" s="27"/>
      <c r="O341" s="27"/>
      <c r="P341" s="27"/>
      <c r="Q341" s="4"/>
      <c r="R341" s="4"/>
      <c r="S341" s="4"/>
      <c r="T341" s="4"/>
      <c r="U341" s="4"/>
      <c r="V341" s="4"/>
      <c r="W341" s="27"/>
      <c r="X341" s="27"/>
      <c r="Y341" s="27"/>
      <c r="Z341" s="4"/>
      <c r="AA341" s="4"/>
      <c r="AB341" s="27"/>
      <c r="AC341" s="27">
        <v>1</v>
      </c>
      <c r="AD341" s="10"/>
      <c r="AE341" s="4"/>
      <c r="AF341" s="4"/>
      <c r="AG341" s="4"/>
      <c r="AH341" s="4"/>
      <c r="AI341" s="4"/>
      <c r="AJ341" s="4"/>
      <c r="AK341" s="4"/>
      <c r="AL341" s="4"/>
      <c r="AM341" s="4"/>
      <c r="AN341" s="17"/>
      <c r="AO341" s="4"/>
      <c r="AP341" s="4"/>
      <c r="AQ341" s="4"/>
      <c r="AR341" s="4"/>
      <c r="AS341" s="4"/>
      <c r="AT341" s="4"/>
      <c r="AU341" s="4"/>
      <c r="AV341" s="4"/>
      <c r="AW341" s="4"/>
      <c r="AX341" s="4">
        <v>1</v>
      </c>
      <c r="AY341" s="4">
        <v>1</v>
      </c>
      <c r="AZ341" s="27"/>
      <c r="BA341" s="4"/>
      <c r="BB341" s="4"/>
      <c r="BC341" s="4"/>
      <c r="BD341" s="4"/>
      <c r="BE341" s="4"/>
      <c r="BF341" s="27"/>
      <c r="BG341" s="28"/>
      <c r="BH341" s="4"/>
      <c r="BI341" s="4"/>
      <c r="BJ341" s="5">
        <f t="shared" si="11"/>
        <v>4</v>
      </c>
      <c r="BK341" s="42" t="s">
        <v>30</v>
      </c>
      <c r="BL341" s="42"/>
      <c r="BM341" s="13"/>
    </row>
    <row r="342" spans="1:65" s="8" customFormat="1" ht="11.25">
      <c r="A342" s="44" t="s">
        <v>301</v>
      </c>
      <c r="B342" s="9" t="s">
        <v>28</v>
      </c>
      <c r="C342" s="9" t="s">
        <v>7</v>
      </c>
      <c r="D342" s="21" t="s">
        <v>30</v>
      </c>
      <c r="E342" s="28"/>
      <c r="F342" s="28">
        <v>40</v>
      </c>
      <c r="G342" s="5"/>
      <c r="H342" s="34"/>
      <c r="I342" s="28"/>
      <c r="J342" s="28">
        <v>24</v>
      </c>
      <c r="K342" s="28"/>
      <c r="L342" s="28"/>
      <c r="M342" s="28"/>
      <c r="N342" s="28"/>
      <c r="O342" s="28"/>
      <c r="P342" s="28"/>
      <c r="Q342" s="5"/>
      <c r="R342" s="5"/>
      <c r="S342" s="5"/>
      <c r="T342" s="5"/>
      <c r="U342" s="5"/>
      <c r="V342" s="5"/>
      <c r="W342" s="28"/>
      <c r="X342" s="28"/>
      <c r="Y342" s="28"/>
      <c r="Z342" s="5">
        <v>1</v>
      </c>
      <c r="AA342" s="5"/>
      <c r="AB342" s="28"/>
      <c r="AC342" s="28"/>
      <c r="AD342" s="11"/>
      <c r="AE342" s="5"/>
      <c r="AF342" s="5"/>
      <c r="AG342" s="5"/>
      <c r="AH342" s="5"/>
      <c r="AI342" s="5"/>
      <c r="AJ342" s="5"/>
      <c r="AK342" s="5"/>
      <c r="AL342" s="5"/>
      <c r="AM342" s="5"/>
      <c r="AN342" s="17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28"/>
      <c r="BA342" s="5"/>
      <c r="BB342" s="5"/>
      <c r="BC342" s="5"/>
      <c r="BD342" s="5"/>
      <c r="BE342" s="5"/>
      <c r="BF342" s="28">
        <v>2</v>
      </c>
      <c r="BG342" s="28"/>
      <c r="BH342" s="5"/>
      <c r="BI342" s="5"/>
      <c r="BJ342" s="5">
        <f t="shared" si="11"/>
        <v>67</v>
      </c>
      <c r="BK342" s="42" t="s">
        <v>30</v>
      </c>
      <c r="BL342" s="42"/>
      <c r="BM342" s="13"/>
    </row>
    <row r="343" spans="1:65" s="9" customFormat="1" ht="11.25">
      <c r="A343" s="43" t="s">
        <v>302</v>
      </c>
      <c r="B343" s="9" t="s">
        <v>26</v>
      </c>
      <c r="C343" s="9" t="s">
        <v>27</v>
      </c>
      <c r="D343" s="21" t="s">
        <v>22</v>
      </c>
      <c r="E343" s="28"/>
      <c r="F343" s="28">
        <v>2</v>
      </c>
      <c r="G343" s="5"/>
      <c r="H343" s="34"/>
      <c r="I343" s="28"/>
      <c r="J343" s="28"/>
      <c r="K343" s="28"/>
      <c r="L343" s="28"/>
      <c r="M343" s="28"/>
      <c r="N343" s="28"/>
      <c r="O343" s="28"/>
      <c r="P343" s="28"/>
      <c r="Q343" s="5"/>
      <c r="R343" s="5"/>
      <c r="S343" s="5"/>
      <c r="T343" s="5"/>
      <c r="U343" s="5"/>
      <c r="V343" s="5"/>
      <c r="W343" s="28"/>
      <c r="X343" s="28"/>
      <c r="Y343" s="28"/>
      <c r="Z343" s="5"/>
      <c r="AA343" s="5"/>
      <c r="AB343" s="28"/>
      <c r="AC343" s="28"/>
      <c r="AD343" s="11"/>
      <c r="AE343" s="5"/>
      <c r="AF343" s="5"/>
      <c r="AG343" s="5"/>
      <c r="AH343" s="5"/>
      <c r="AI343" s="5"/>
      <c r="AJ343" s="5"/>
      <c r="AK343" s="5"/>
      <c r="AL343" s="5"/>
      <c r="AM343" s="5"/>
      <c r="AN343" s="17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28"/>
      <c r="BA343" s="5"/>
      <c r="BB343" s="5"/>
      <c r="BC343" s="5"/>
      <c r="BD343" s="5"/>
      <c r="BE343" s="5"/>
      <c r="BF343" s="28"/>
      <c r="BG343" s="28"/>
      <c r="BH343" s="5"/>
      <c r="BI343" s="5"/>
      <c r="BJ343" s="5">
        <f t="shared" si="11"/>
        <v>2</v>
      </c>
      <c r="BK343" s="42" t="s">
        <v>22</v>
      </c>
      <c r="BL343" s="42"/>
      <c r="BM343" s="51"/>
    </row>
    <row r="344" spans="1:65" s="9" customFormat="1" ht="11.25">
      <c r="A344" s="43" t="s">
        <v>303</v>
      </c>
      <c r="B344" s="8" t="s">
        <v>84</v>
      </c>
      <c r="C344" s="8" t="s">
        <v>60</v>
      </c>
      <c r="D344" s="21" t="s">
        <v>22</v>
      </c>
      <c r="E344" s="28">
        <v>15</v>
      </c>
      <c r="F344" s="28">
        <v>10</v>
      </c>
      <c r="G344" s="5">
        <v>20</v>
      </c>
      <c r="H344" s="31"/>
      <c r="I344" s="28"/>
      <c r="J344" s="28"/>
      <c r="K344" s="28"/>
      <c r="L344" s="28"/>
      <c r="M344" s="28"/>
      <c r="N344" s="28"/>
      <c r="O344" s="28"/>
      <c r="P344" s="28"/>
      <c r="Q344" s="5"/>
      <c r="R344" s="5"/>
      <c r="S344" s="5"/>
      <c r="T344" s="5"/>
      <c r="U344" s="5"/>
      <c r="V344" s="5"/>
      <c r="W344" s="28"/>
      <c r="X344" s="28"/>
      <c r="Y344" s="28"/>
      <c r="Z344" s="5"/>
      <c r="AA344" s="5"/>
      <c r="AB344" s="28"/>
      <c r="AC344" s="28"/>
      <c r="AD344" s="11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28"/>
      <c r="BA344" s="5"/>
      <c r="BB344" s="5"/>
      <c r="BC344" s="5"/>
      <c r="BD344" s="5"/>
      <c r="BE344" s="5"/>
      <c r="BF344" s="28"/>
      <c r="BG344" s="28"/>
      <c r="BH344" s="5"/>
      <c r="BI344" s="5"/>
      <c r="BJ344" s="5">
        <f t="shared" si="11"/>
        <v>45</v>
      </c>
      <c r="BK344" s="42" t="s">
        <v>22</v>
      </c>
      <c r="BL344" s="42"/>
      <c r="BM344" s="51"/>
    </row>
    <row r="345" spans="1:65" s="9" customFormat="1" ht="11.25">
      <c r="A345" s="43" t="s">
        <v>304</v>
      </c>
      <c r="B345" s="8" t="s">
        <v>171</v>
      </c>
      <c r="C345" s="8" t="s">
        <v>32</v>
      </c>
      <c r="D345" s="21" t="s">
        <v>22</v>
      </c>
      <c r="E345" s="28"/>
      <c r="F345" s="28"/>
      <c r="G345" s="5"/>
      <c r="H345" s="31"/>
      <c r="I345" s="28"/>
      <c r="J345" s="28"/>
      <c r="K345" s="28"/>
      <c r="L345" s="28"/>
      <c r="M345" s="28"/>
      <c r="N345" s="28"/>
      <c r="O345" s="28"/>
      <c r="P345" s="28"/>
      <c r="Q345" s="5">
        <v>30</v>
      </c>
      <c r="R345" s="5"/>
      <c r="S345" s="5"/>
      <c r="T345" s="5"/>
      <c r="U345" s="5"/>
      <c r="V345" s="5"/>
      <c r="W345" s="28"/>
      <c r="X345" s="28"/>
      <c r="Y345" s="28"/>
      <c r="Z345" s="5"/>
      <c r="AA345" s="5"/>
      <c r="AB345" s="28">
        <v>20</v>
      </c>
      <c r="AC345" s="28"/>
      <c r="AD345" s="11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>
        <v>10</v>
      </c>
      <c r="AT345" s="5">
        <v>10</v>
      </c>
      <c r="AU345" s="5"/>
      <c r="AV345" s="5"/>
      <c r="AW345" s="5"/>
      <c r="AX345" s="5"/>
      <c r="AY345" s="5"/>
      <c r="AZ345" s="28"/>
      <c r="BA345" s="5"/>
      <c r="BB345" s="5"/>
      <c r="BC345" s="5"/>
      <c r="BD345" s="5"/>
      <c r="BE345" s="5"/>
      <c r="BF345" s="28"/>
      <c r="BG345" s="28"/>
      <c r="BH345" s="5"/>
      <c r="BI345" s="5"/>
      <c r="BJ345" s="5">
        <f t="shared" si="11"/>
        <v>70</v>
      </c>
      <c r="BK345" s="42" t="s">
        <v>22</v>
      </c>
      <c r="BL345" s="42"/>
      <c r="BM345" s="51"/>
    </row>
    <row r="346" spans="1:65" s="9" customFormat="1" ht="11.25">
      <c r="A346" s="43" t="s">
        <v>305</v>
      </c>
      <c r="B346" s="8" t="s">
        <v>172</v>
      </c>
      <c r="C346" s="8" t="s">
        <v>32</v>
      </c>
      <c r="D346" s="21" t="s">
        <v>22</v>
      </c>
      <c r="E346" s="28"/>
      <c r="F346" s="28"/>
      <c r="G346" s="5"/>
      <c r="H346" s="31"/>
      <c r="I346" s="28"/>
      <c r="J346" s="28"/>
      <c r="K346" s="28"/>
      <c r="L346" s="28"/>
      <c r="M346" s="28"/>
      <c r="N346" s="28"/>
      <c r="O346" s="28"/>
      <c r="P346" s="28"/>
      <c r="Q346" s="5">
        <v>30</v>
      </c>
      <c r="R346" s="5"/>
      <c r="S346" s="5"/>
      <c r="T346" s="5"/>
      <c r="U346" s="5"/>
      <c r="V346" s="5"/>
      <c r="W346" s="28"/>
      <c r="X346" s="28"/>
      <c r="Y346" s="28"/>
      <c r="Z346" s="5"/>
      <c r="AA346" s="5"/>
      <c r="AB346" s="28">
        <v>20</v>
      </c>
      <c r="AC346" s="28"/>
      <c r="AD346" s="11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>
        <v>10</v>
      </c>
      <c r="AT346" s="5">
        <v>10</v>
      </c>
      <c r="AU346" s="5"/>
      <c r="AV346" s="5"/>
      <c r="AW346" s="5"/>
      <c r="AX346" s="5"/>
      <c r="AY346" s="5"/>
      <c r="AZ346" s="28"/>
      <c r="BA346" s="5"/>
      <c r="BB346" s="5"/>
      <c r="BC346" s="5"/>
      <c r="BD346" s="5"/>
      <c r="BE346" s="5"/>
      <c r="BF346" s="28"/>
      <c r="BG346" s="28"/>
      <c r="BH346" s="5"/>
      <c r="BI346" s="5"/>
      <c r="BJ346" s="5">
        <f t="shared" si="11"/>
        <v>70</v>
      </c>
      <c r="BK346" s="42" t="s">
        <v>22</v>
      </c>
      <c r="BL346" s="42"/>
      <c r="BM346" s="51"/>
    </row>
    <row r="347" spans="1:65" s="9" customFormat="1" ht="11.25">
      <c r="A347" s="43" t="s">
        <v>306</v>
      </c>
      <c r="B347" s="8" t="s">
        <v>168</v>
      </c>
      <c r="C347" s="8" t="s">
        <v>169</v>
      </c>
      <c r="D347" s="21" t="s">
        <v>22</v>
      </c>
      <c r="E347" s="28"/>
      <c r="F347" s="28"/>
      <c r="G347" s="5"/>
      <c r="H347" s="31"/>
      <c r="I347" s="28"/>
      <c r="J347" s="28"/>
      <c r="K347" s="28"/>
      <c r="L347" s="28"/>
      <c r="M347" s="28"/>
      <c r="N347" s="28"/>
      <c r="O347" s="28"/>
      <c r="P347" s="28"/>
      <c r="Q347" s="5">
        <v>10</v>
      </c>
      <c r="R347" s="5"/>
      <c r="S347" s="5"/>
      <c r="T347" s="5"/>
      <c r="U347" s="5"/>
      <c r="V347" s="5"/>
      <c r="W347" s="28"/>
      <c r="X347" s="28"/>
      <c r="Y347" s="28"/>
      <c r="Z347" s="5"/>
      <c r="AA347" s="5"/>
      <c r="AB347" s="28">
        <v>10</v>
      </c>
      <c r="AC347" s="28"/>
      <c r="AD347" s="11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28"/>
      <c r="BA347" s="5"/>
      <c r="BB347" s="5"/>
      <c r="BC347" s="5"/>
      <c r="BD347" s="5"/>
      <c r="BE347" s="5"/>
      <c r="BF347" s="28"/>
      <c r="BG347" s="28"/>
      <c r="BH347" s="5"/>
      <c r="BI347" s="5"/>
      <c r="BJ347" s="5">
        <f t="shared" si="11"/>
        <v>20</v>
      </c>
      <c r="BK347" s="42" t="s">
        <v>22</v>
      </c>
      <c r="BL347" s="42"/>
      <c r="BM347" s="51"/>
    </row>
    <row r="348" spans="1:65" s="9" customFormat="1" ht="11.25">
      <c r="A348" s="43" t="s">
        <v>307</v>
      </c>
      <c r="B348" s="8" t="s">
        <v>168</v>
      </c>
      <c r="C348" s="8" t="s">
        <v>170</v>
      </c>
      <c r="D348" s="21" t="s">
        <v>22</v>
      </c>
      <c r="E348" s="28"/>
      <c r="F348" s="28"/>
      <c r="G348" s="5"/>
      <c r="H348" s="31"/>
      <c r="I348" s="28"/>
      <c r="J348" s="28"/>
      <c r="K348" s="28"/>
      <c r="L348" s="28"/>
      <c r="M348" s="28"/>
      <c r="N348" s="28"/>
      <c r="O348" s="28"/>
      <c r="P348" s="28"/>
      <c r="Q348" s="5">
        <v>10</v>
      </c>
      <c r="R348" s="5"/>
      <c r="S348" s="5"/>
      <c r="T348" s="5"/>
      <c r="U348" s="5"/>
      <c r="V348" s="5"/>
      <c r="W348" s="28"/>
      <c r="X348" s="28"/>
      <c r="Y348" s="28"/>
      <c r="Z348" s="5"/>
      <c r="AA348" s="5"/>
      <c r="AB348" s="28">
        <v>10</v>
      </c>
      <c r="AC348" s="28"/>
      <c r="AD348" s="11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28"/>
      <c r="BA348" s="5"/>
      <c r="BB348" s="5"/>
      <c r="BC348" s="5"/>
      <c r="BD348" s="5"/>
      <c r="BE348" s="5"/>
      <c r="BF348" s="28"/>
      <c r="BG348" s="28"/>
      <c r="BH348" s="5"/>
      <c r="BI348" s="5"/>
      <c r="BJ348" s="5">
        <f t="shared" si="11"/>
        <v>20</v>
      </c>
      <c r="BK348" s="42" t="s">
        <v>22</v>
      </c>
      <c r="BL348" s="42"/>
      <c r="BM348" s="51"/>
    </row>
    <row r="349" spans="1:65" s="9" customFormat="1" ht="11.25">
      <c r="A349" s="43" t="s">
        <v>308</v>
      </c>
      <c r="B349" s="8" t="s">
        <v>165</v>
      </c>
      <c r="C349" s="8" t="s">
        <v>32</v>
      </c>
      <c r="D349" s="21" t="s">
        <v>22</v>
      </c>
      <c r="E349" s="28"/>
      <c r="F349" s="28"/>
      <c r="G349" s="5"/>
      <c r="H349" s="31"/>
      <c r="I349" s="28"/>
      <c r="J349" s="28"/>
      <c r="K349" s="28"/>
      <c r="L349" s="28"/>
      <c r="M349" s="28"/>
      <c r="N349" s="28"/>
      <c r="O349" s="28"/>
      <c r="P349" s="28"/>
      <c r="Q349" s="5"/>
      <c r="R349" s="5"/>
      <c r="S349" s="5"/>
      <c r="T349" s="5"/>
      <c r="U349" s="5"/>
      <c r="V349" s="5"/>
      <c r="W349" s="28"/>
      <c r="X349" s="28"/>
      <c r="Y349" s="28"/>
      <c r="Z349" s="5">
        <v>1</v>
      </c>
      <c r="AA349" s="5"/>
      <c r="AB349" s="28"/>
      <c r="AC349" s="28">
        <v>1</v>
      </c>
      <c r="AD349" s="11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28"/>
      <c r="BA349" s="5"/>
      <c r="BB349" s="5"/>
      <c r="BC349" s="5"/>
      <c r="BD349" s="5"/>
      <c r="BE349" s="5"/>
      <c r="BF349" s="28"/>
      <c r="BG349" s="28"/>
      <c r="BH349" s="5"/>
      <c r="BI349" s="5"/>
      <c r="BJ349" s="5">
        <f t="shared" si="11"/>
        <v>2</v>
      </c>
      <c r="BK349" s="42" t="s">
        <v>22</v>
      </c>
      <c r="BL349" s="42"/>
      <c r="BM349" s="51"/>
    </row>
    <row r="350" spans="1:65" s="9" customFormat="1" ht="11.25">
      <c r="A350" s="43" t="s">
        <v>309</v>
      </c>
      <c r="B350" s="8" t="s">
        <v>174</v>
      </c>
      <c r="C350" s="8" t="s">
        <v>175</v>
      </c>
      <c r="D350" s="21" t="s">
        <v>22</v>
      </c>
      <c r="E350" s="28"/>
      <c r="F350" s="28"/>
      <c r="G350" s="5"/>
      <c r="H350" s="31"/>
      <c r="I350" s="28"/>
      <c r="J350" s="28"/>
      <c r="K350" s="28"/>
      <c r="L350" s="28"/>
      <c r="M350" s="28"/>
      <c r="N350" s="28"/>
      <c r="O350" s="28"/>
      <c r="P350" s="28"/>
      <c r="Q350" s="5">
        <v>20</v>
      </c>
      <c r="R350" s="5"/>
      <c r="S350" s="5"/>
      <c r="T350" s="5"/>
      <c r="U350" s="5"/>
      <c r="V350" s="5"/>
      <c r="W350" s="28"/>
      <c r="X350" s="28"/>
      <c r="Y350" s="28"/>
      <c r="Z350" s="5"/>
      <c r="AA350" s="5"/>
      <c r="AB350" s="28"/>
      <c r="AC350" s="28"/>
      <c r="AD350" s="11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28"/>
      <c r="BA350" s="5"/>
      <c r="BB350" s="5"/>
      <c r="BC350" s="5"/>
      <c r="BD350" s="5"/>
      <c r="BE350" s="5"/>
      <c r="BF350" s="28"/>
      <c r="BG350" s="28"/>
      <c r="BH350" s="5"/>
      <c r="BI350" s="5"/>
      <c r="BJ350" s="5">
        <f t="shared" si="11"/>
        <v>20</v>
      </c>
      <c r="BK350" s="42" t="s">
        <v>22</v>
      </c>
      <c r="BL350" s="42"/>
      <c r="BM350" s="51"/>
    </row>
    <row r="351" spans="1:65" s="9" customFormat="1" ht="11.25">
      <c r="A351" s="43" t="s">
        <v>310</v>
      </c>
      <c r="B351" s="8" t="s">
        <v>174</v>
      </c>
      <c r="C351" s="8" t="s">
        <v>176</v>
      </c>
      <c r="D351" s="21" t="s">
        <v>22</v>
      </c>
      <c r="E351" s="28"/>
      <c r="F351" s="28"/>
      <c r="G351" s="5"/>
      <c r="H351" s="31"/>
      <c r="I351" s="28"/>
      <c r="J351" s="28"/>
      <c r="K351" s="28"/>
      <c r="L351" s="28"/>
      <c r="M351" s="28"/>
      <c r="N351" s="28"/>
      <c r="O351" s="28"/>
      <c r="P351" s="28"/>
      <c r="Q351" s="5">
        <v>20</v>
      </c>
      <c r="R351" s="5"/>
      <c r="S351" s="5"/>
      <c r="T351" s="5"/>
      <c r="U351" s="5"/>
      <c r="V351" s="5"/>
      <c r="W351" s="28"/>
      <c r="X351" s="28"/>
      <c r="Y351" s="28"/>
      <c r="Z351" s="5"/>
      <c r="AA351" s="5"/>
      <c r="AB351" s="28"/>
      <c r="AC351" s="28"/>
      <c r="AD351" s="11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28"/>
      <c r="BA351" s="5"/>
      <c r="BB351" s="5"/>
      <c r="BC351" s="5"/>
      <c r="BD351" s="5"/>
      <c r="BE351" s="5"/>
      <c r="BF351" s="28"/>
      <c r="BG351" s="28"/>
      <c r="BH351" s="5"/>
      <c r="BI351" s="5"/>
      <c r="BJ351" s="5">
        <f t="shared" si="11"/>
        <v>20</v>
      </c>
      <c r="BK351" s="42" t="s">
        <v>22</v>
      </c>
      <c r="BL351" s="42"/>
      <c r="BM351" s="51"/>
    </row>
    <row r="352" spans="1:65" s="9" customFormat="1" ht="11.25">
      <c r="A352" s="43" t="s">
        <v>311</v>
      </c>
      <c r="B352" s="8" t="s">
        <v>174</v>
      </c>
      <c r="C352" s="8" t="s">
        <v>177</v>
      </c>
      <c r="D352" s="21" t="s">
        <v>22</v>
      </c>
      <c r="E352" s="28"/>
      <c r="F352" s="28"/>
      <c r="G352" s="5"/>
      <c r="H352" s="31"/>
      <c r="I352" s="28"/>
      <c r="J352" s="28"/>
      <c r="K352" s="28"/>
      <c r="L352" s="28"/>
      <c r="M352" s="28"/>
      <c r="N352" s="28"/>
      <c r="O352" s="28"/>
      <c r="P352" s="28"/>
      <c r="Q352" s="5">
        <v>20</v>
      </c>
      <c r="R352" s="5"/>
      <c r="S352" s="5"/>
      <c r="T352" s="5"/>
      <c r="U352" s="5"/>
      <c r="V352" s="5"/>
      <c r="W352" s="28"/>
      <c r="X352" s="28"/>
      <c r="Y352" s="28"/>
      <c r="Z352" s="5"/>
      <c r="AA352" s="5"/>
      <c r="AB352" s="28"/>
      <c r="AC352" s="28"/>
      <c r="AD352" s="11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28"/>
      <c r="BA352" s="5"/>
      <c r="BB352" s="5"/>
      <c r="BC352" s="5"/>
      <c r="BD352" s="5"/>
      <c r="BE352" s="5"/>
      <c r="BF352" s="28"/>
      <c r="BG352" s="28"/>
      <c r="BH352" s="5"/>
      <c r="BI352" s="5"/>
      <c r="BJ352" s="5">
        <f t="shared" si="11"/>
        <v>20</v>
      </c>
      <c r="BK352" s="42" t="s">
        <v>22</v>
      </c>
      <c r="BL352" s="42"/>
      <c r="BM352" s="51"/>
    </row>
    <row r="353" spans="1:115" ht="12.75">
      <c r="A353" s="60" t="s">
        <v>184</v>
      </c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2"/>
      <c r="BM353" s="20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</row>
    <row r="354" spans="2:115" ht="11.25" hidden="1">
      <c r="B354" s="32"/>
      <c r="C354" s="8"/>
      <c r="D354" s="21"/>
      <c r="E354" s="28"/>
      <c r="H354" s="31"/>
      <c r="I354" s="28"/>
      <c r="J354" s="28"/>
      <c r="K354" s="28"/>
      <c r="L354" s="28"/>
      <c r="M354" s="29"/>
      <c r="N354" s="5"/>
      <c r="O354" s="28"/>
      <c r="P354" s="28"/>
      <c r="W354" s="28"/>
      <c r="X354" s="28"/>
      <c r="Y354" s="28"/>
      <c r="AN354" s="7"/>
      <c r="AO354" s="5"/>
      <c r="AQ354" s="5"/>
      <c r="AZ354" s="30"/>
      <c r="BF354" s="28"/>
      <c r="BG354" s="28"/>
      <c r="BM354" s="13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</row>
    <row r="355" spans="2:68" ht="11.25" hidden="1">
      <c r="B355" s="32"/>
      <c r="C355" s="8"/>
      <c r="D355" s="21"/>
      <c r="E355" s="28"/>
      <c r="I355" s="28"/>
      <c r="J355" s="28"/>
      <c r="K355" s="28"/>
      <c r="L355" s="28"/>
      <c r="M355" s="29"/>
      <c r="N355" s="5"/>
      <c r="O355" s="28"/>
      <c r="P355" s="28"/>
      <c r="W355" s="28"/>
      <c r="X355" s="28"/>
      <c r="Y355" s="28"/>
      <c r="AN355" s="7"/>
      <c r="AO355" s="5"/>
      <c r="AQ355" s="5"/>
      <c r="AZ355" s="30"/>
      <c r="BF355" s="28"/>
      <c r="BG355" s="28"/>
      <c r="BM355" s="13"/>
      <c r="BN355" s="8"/>
      <c r="BO355" s="8"/>
      <c r="BP355" s="8"/>
    </row>
    <row r="356" spans="2:68" ht="11.25" hidden="1">
      <c r="B356" s="8"/>
      <c r="C356" s="8"/>
      <c r="D356" s="13"/>
      <c r="K356" s="28"/>
      <c r="L356" s="28"/>
      <c r="M356" s="29"/>
      <c r="N356" s="5"/>
      <c r="O356" s="28"/>
      <c r="P356" s="28"/>
      <c r="AN356" s="7"/>
      <c r="AO356" s="5"/>
      <c r="AQ356" s="5"/>
      <c r="BM356" s="13"/>
      <c r="BN356" s="8"/>
      <c r="BO356" s="8"/>
      <c r="BP356" s="8"/>
    </row>
    <row r="357" spans="2:68" ht="11.25" hidden="1">
      <c r="B357" s="8"/>
      <c r="C357" s="8"/>
      <c r="D357" s="13"/>
      <c r="N357" s="5"/>
      <c r="O357" s="28"/>
      <c r="P357" s="28"/>
      <c r="AN357" s="7"/>
      <c r="AO357" s="5"/>
      <c r="AQ357" s="5"/>
      <c r="BM357" s="13"/>
      <c r="BN357" s="8"/>
      <c r="BO357" s="8"/>
      <c r="BP357" s="8"/>
    </row>
    <row r="358" spans="2:68" ht="11.25" hidden="1">
      <c r="B358" s="8"/>
      <c r="C358" s="8"/>
      <c r="D358" s="13"/>
      <c r="N358" s="5"/>
      <c r="O358" s="28"/>
      <c r="P358" s="28"/>
      <c r="AN358" s="7"/>
      <c r="AO358" s="5"/>
      <c r="AQ358" s="5"/>
      <c r="BM358" s="13"/>
      <c r="BN358" s="8"/>
      <c r="BO358" s="8"/>
      <c r="BP358" s="8"/>
    </row>
    <row r="359" spans="2:68" ht="11.25" hidden="1">
      <c r="B359" s="8"/>
      <c r="C359" s="8"/>
      <c r="D359" s="13"/>
      <c r="N359" s="5"/>
      <c r="O359" s="28"/>
      <c r="P359" s="28"/>
      <c r="AN359" s="7"/>
      <c r="AO359" s="5"/>
      <c r="AQ359" s="5"/>
      <c r="BM359" s="13"/>
      <c r="BN359" s="8"/>
      <c r="BO359" s="8"/>
      <c r="BP359" s="8"/>
    </row>
    <row r="360" spans="2:68" ht="11.25" hidden="1">
      <c r="B360" s="8"/>
      <c r="C360" s="8"/>
      <c r="D360" s="13"/>
      <c r="N360" s="5"/>
      <c r="O360" s="28"/>
      <c r="P360" s="28"/>
      <c r="AN360" s="7"/>
      <c r="AO360" s="5"/>
      <c r="AQ360" s="5"/>
      <c r="BM360" s="13"/>
      <c r="BN360" s="8"/>
      <c r="BO360" s="8"/>
      <c r="BP360" s="8"/>
    </row>
    <row r="361" spans="2:68" ht="11.25" hidden="1">
      <c r="B361" s="8"/>
      <c r="C361" s="8"/>
      <c r="D361" s="13"/>
      <c r="N361" s="5"/>
      <c r="O361" s="28"/>
      <c r="P361" s="28"/>
      <c r="AN361" s="7"/>
      <c r="AO361" s="5"/>
      <c r="AQ361" s="5"/>
      <c r="BM361" s="13"/>
      <c r="BN361" s="8"/>
      <c r="BO361" s="8"/>
      <c r="BP361" s="8"/>
    </row>
    <row r="362" spans="2:68" ht="11.25" hidden="1">
      <c r="B362" s="8"/>
      <c r="C362" s="8"/>
      <c r="D362" s="13"/>
      <c r="N362" s="5"/>
      <c r="O362" s="28"/>
      <c r="P362" s="28"/>
      <c r="AN362" s="7"/>
      <c r="AO362" s="5"/>
      <c r="AQ362" s="5"/>
      <c r="BM362" s="13"/>
      <c r="BN362" s="8"/>
      <c r="BO362" s="8"/>
      <c r="BP362" s="8"/>
    </row>
    <row r="363" spans="2:68" ht="11.25" hidden="1">
      <c r="B363" s="8"/>
      <c r="C363" s="8"/>
      <c r="D363" s="13"/>
      <c r="N363" s="5"/>
      <c r="O363" s="28"/>
      <c r="P363" s="28"/>
      <c r="AN363" s="7"/>
      <c r="AO363" s="5"/>
      <c r="AQ363" s="5"/>
      <c r="BM363" s="13"/>
      <c r="BN363" s="8"/>
      <c r="BO363" s="8"/>
      <c r="BP363" s="8"/>
    </row>
    <row r="364" spans="2:68" ht="11.25" hidden="1">
      <c r="B364" s="8"/>
      <c r="C364" s="8"/>
      <c r="D364" s="13"/>
      <c r="N364" s="5"/>
      <c r="O364" s="28"/>
      <c r="P364" s="28"/>
      <c r="AN364" s="7"/>
      <c r="AO364" s="5"/>
      <c r="AQ364" s="5"/>
      <c r="BM364" s="13"/>
      <c r="BN364" s="8"/>
      <c r="BO364" s="8"/>
      <c r="BP364" s="8"/>
    </row>
    <row r="365" spans="2:68" ht="11.25" hidden="1">
      <c r="B365" s="8"/>
      <c r="C365" s="8"/>
      <c r="D365" s="13"/>
      <c r="N365" s="5"/>
      <c r="O365" s="28"/>
      <c r="P365" s="28"/>
      <c r="AN365" s="7"/>
      <c r="AO365" s="5"/>
      <c r="AQ365" s="5"/>
      <c r="BM365" s="13"/>
      <c r="BN365" s="8"/>
      <c r="BO365" s="8"/>
      <c r="BP365" s="8"/>
    </row>
    <row r="366" spans="2:68" ht="11.25" hidden="1">
      <c r="B366" s="8"/>
      <c r="C366" s="8"/>
      <c r="D366" s="13"/>
      <c r="N366" s="5"/>
      <c r="O366" s="28"/>
      <c r="P366" s="28"/>
      <c r="AN366" s="7"/>
      <c r="AO366" s="5"/>
      <c r="AQ366" s="5"/>
      <c r="BM366" s="13"/>
      <c r="BN366" s="8"/>
      <c r="BO366" s="8"/>
      <c r="BP366" s="8"/>
    </row>
    <row r="367" spans="2:68" ht="11.25" hidden="1">
      <c r="B367" s="8"/>
      <c r="C367" s="8"/>
      <c r="D367" s="13"/>
      <c r="N367" s="5"/>
      <c r="O367" s="28"/>
      <c r="P367" s="28"/>
      <c r="AN367" s="7"/>
      <c r="AO367" s="5"/>
      <c r="AQ367" s="5"/>
      <c r="BM367" s="13"/>
      <c r="BN367" s="8"/>
      <c r="BO367" s="8"/>
      <c r="BP367" s="8"/>
    </row>
    <row r="368" spans="2:68" ht="11.25" hidden="1">
      <c r="B368" s="8"/>
      <c r="C368" s="8"/>
      <c r="D368" s="13"/>
      <c r="N368" s="5"/>
      <c r="O368" s="28"/>
      <c r="P368" s="28"/>
      <c r="AN368" s="7"/>
      <c r="AO368" s="5"/>
      <c r="AQ368" s="5"/>
      <c r="BM368" s="13"/>
      <c r="BN368" s="8"/>
      <c r="BO368" s="8"/>
      <c r="BP368" s="8"/>
    </row>
    <row r="369" spans="2:68" ht="11.25" hidden="1">
      <c r="B369" s="8"/>
      <c r="C369" s="8"/>
      <c r="D369" s="13"/>
      <c r="N369" s="5"/>
      <c r="O369" s="28"/>
      <c r="P369" s="28"/>
      <c r="AN369" s="7"/>
      <c r="AO369" s="5"/>
      <c r="AQ369" s="5"/>
      <c r="BM369" s="13"/>
      <c r="BN369" s="8"/>
      <c r="BO369" s="8"/>
      <c r="BP369" s="8"/>
    </row>
    <row r="370" spans="2:68" ht="11.25" hidden="1">
      <c r="B370" s="8"/>
      <c r="C370" s="8"/>
      <c r="D370" s="13"/>
      <c r="N370" s="5"/>
      <c r="P370" s="5"/>
      <c r="AN370" s="7"/>
      <c r="AO370" s="5"/>
      <c r="AQ370" s="5"/>
      <c r="BM370" s="13"/>
      <c r="BN370" s="8"/>
      <c r="BO370" s="8"/>
      <c r="BP370" s="8"/>
    </row>
    <row r="371" spans="2:68" ht="11.25" hidden="1">
      <c r="B371" s="8"/>
      <c r="C371" s="8"/>
      <c r="D371" s="13"/>
      <c r="N371" s="5"/>
      <c r="P371" s="5"/>
      <c r="AN371" s="7"/>
      <c r="AO371" s="5"/>
      <c r="AQ371" s="5"/>
      <c r="BM371" s="13"/>
      <c r="BN371" s="8"/>
      <c r="BO371" s="8"/>
      <c r="BP371" s="8"/>
    </row>
    <row r="372" spans="2:68" ht="11.25" hidden="1">
      <c r="B372" s="8"/>
      <c r="C372" s="8"/>
      <c r="D372" s="13"/>
      <c r="N372" s="5"/>
      <c r="P372" s="5"/>
      <c r="AN372" s="7"/>
      <c r="AO372" s="5"/>
      <c r="AQ372" s="5"/>
      <c r="BM372" s="13"/>
      <c r="BN372" s="8"/>
      <c r="BO372" s="8"/>
      <c r="BP372" s="8"/>
    </row>
    <row r="373" spans="2:68" ht="11.25" hidden="1">
      <c r="B373" s="8"/>
      <c r="C373" s="8"/>
      <c r="D373" s="13"/>
      <c r="N373" s="5"/>
      <c r="P373" s="5"/>
      <c r="AN373" s="7"/>
      <c r="AO373" s="5"/>
      <c r="AQ373" s="5"/>
      <c r="BM373" s="13"/>
      <c r="BN373" s="8"/>
      <c r="BO373" s="8"/>
      <c r="BP373" s="8"/>
    </row>
    <row r="374" spans="2:68" ht="11.25" hidden="1">
      <c r="B374" s="8"/>
      <c r="C374" s="8"/>
      <c r="D374" s="13"/>
      <c r="N374" s="5"/>
      <c r="P374" s="5"/>
      <c r="AN374" s="7"/>
      <c r="AO374" s="5"/>
      <c r="AQ374" s="5"/>
      <c r="BM374" s="13"/>
      <c r="BN374" s="8"/>
      <c r="BO374" s="8"/>
      <c r="BP374" s="8"/>
    </row>
    <row r="375" spans="2:68" ht="11.25" hidden="1">
      <c r="B375" s="8"/>
      <c r="C375" s="8"/>
      <c r="D375" s="13"/>
      <c r="N375" s="5"/>
      <c r="P375" s="5"/>
      <c r="AN375" s="7"/>
      <c r="AO375" s="5"/>
      <c r="AQ375" s="5"/>
      <c r="BM375" s="13"/>
      <c r="BN375" s="8"/>
      <c r="BO375" s="8"/>
      <c r="BP375" s="8"/>
    </row>
    <row r="376" spans="4:68" ht="11.25" hidden="1">
      <c r="D376" s="13"/>
      <c r="N376" s="5"/>
      <c r="P376" s="5"/>
      <c r="AN376" s="7"/>
      <c r="AO376" s="5"/>
      <c r="AQ376" s="5"/>
      <c r="BM376" s="13"/>
      <c r="BN376" s="8"/>
      <c r="BO376" s="8"/>
      <c r="BP376" s="8"/>
    </row>
    <row r="377" spans="4:68" ht="11.25" hidden="1">
      <c r="D377" s="13"/>
      <c r="N377" s="5"/>
      <c r="P377" s="5"/>
      <c r="AN377" s="7"/>
      <c r="AO377" s="5"/>
      <c r="AQ377" s="5"/>
      <c r="BM377" s="13"/>
      <c r="BN377" s="8"/>
      <c r="BO377" s="8"/>
      <c r="BP377" s="8"/>
    </row>
    <row r="378" spans="4:68" ht="11.25" hidden="1">
      <c r="D378" s="13"/>
      <c r="N378" s="5"/>
      <c r="P378" s="5"/>
      <c r="AN378" s="7"/>
      <c r="AO378" s="5"/>
      <c r="AQ378" s="5"/>
      <c r="BM378" s="13"/>
      <c r="BN378" s="8"/>
      <c r="BO378" s="8"/>
      <c r="BP378" s="8"/>
    </row>
    <row r="379" spans="4:68" ht="11.25" hidden="1">
      <c r="D379" s="13"/>
      <c r="N379" s="5"/>
      <c r="P379" s="5"/>
      <c r="AN379" s="7"/>
      <c r="AO379" s="5"/>
      <c r="AQ379" s="5"/>
      <c r="BM379" s="13"/>
      <c r="BN379" s="8"/>
      <c r="BO379" s="8"/>
      <c r="BP379" s="8"/>
    </row>
    <row r="380" spans="4:68" ht="11.25" hidden="1">
      <c r="D380" s="13"/>
      <c r="N380" s="5"/>
      <c r="P380" s="5"/>
      <c r="AN380" s="7"/>
      <c r="AO380" s="5"/>
      <c r="AQ380" s="5"/>
      <c r="BM380" s="13"/>
      <c r="BN380" s="8"/>
      <c r="BO380" s="8"/>
      <c r="BP380" s="8"/>
    </row>
    <row r="381" spans="4:68" ht="11.25" hidden="1">
      <c r="D381" s="13"/>
      <c r="N381" s="5"/>
      <c r="P381" s="5"/>
      <c r="AN381" s="7"/>
      <c r="AO381" s="5"/>
      <c r="AQ381" s="5"/>
      <c r="BM381" s="13"/>
      <c r="BN381" s="8"/>
      <c r="BO381" s="8"/>
      <c r="BP381" s="8"/>
    </row>
    <row r="382" spans="4:68" ht="11.25" hidden="1">
      <c r="D382" s="13"/>
      <c r="N382" s="5"/>
      <c r="P382" s="5"/>
      <c r="AN382" s="7"/>
      <c r="AO382" s="5"/>
      <c r="AQ382" s="5"/>
      <c r="BM382" s="13"/>
      <c r="BN382" s="8"/>
      <c r="BO382" s="8"/>
      <c r="BP382" s="8"/>
    </row>
    <row r="383" spans="4:68" ht="11.25" hidden="1">
      <c r="D383" s="13"/>
      <c r="N383" s="5"/>
      <c r="P383" s="5"/>
      <c r="AN383" s="7"/>
      <c r="AO383" s="5"/>
      <c r="AQ383" s="5"/>
      <c r="BM383" s="13"/>
      <c r="BN383" s="8"/>
      <c r="BO383" s="8"/>
      <c r="BP383" s="8"/>
    </row>
    <row r="384" spans="4:68" ht="11.25" hidden="1">
      <c r="D384" s="13"/>
      <c r="N384" s="5"/>
      <c r="P384" s="5"/>
      <c r="AN384" s="7"/>
      <c r="AO384" s="5"/>
      <c r="AQ384" s="5"/>
      <c r="BM384" s="13"/>
      <c r="BN384" s="8"/>
      <c r="BO384" s="8"/>
      <c r="BP384" s="8"/>
    </row>
    <row r="385" spans="4:68" ht="11.25" hidden="1">
      <c r="D385" s="13"/>
      <c r="N385" s="5"/>
      <c r="P385" s="5"/>
      <c r="AN385" s="7"/>
      <c r="AO385" s="5"/>
      <c r="AQ385" s="5"/>
      <c r="BM385" s="13"/>
      <c r="BN385" s="8"/>
      <c r="BO385" s="8"/>
      <c r="BP385" s="8"/>
    </row>
    <row r="386" spans="4:68" ht="11.25" hidden="1">
      <c r="D386" s="13"/>
      <c r="N386" s="5"/>
      <c r="P386" s="5"/>
      <c r="AN386" s="7"/>
      <c r="AO386" s="5"/>
      <c r="AQ386" s="5"/>
      <c r="BM386" s="13"/>
      <c r="BN386" s="8"/>
      <c r="BO386" s="8"/>
      <c r="BP386" s="8"/>
    </row>
    <row r="387" spans="4:68" ht="11.25" hidden="1">
      <c r="D387" s="13"/>
      <c r="N387" s="5"/>
      <c r="P387" s="5"/>
      <c r="AN387" s="7"/>
      <c r="AO387" s="5"/>
      <c r="AQ387" s="5"/>
      <c r="BM387" s="13"/>
      <c r="BN387" s="8"/>
      <c r="BO387" s="8"/>
      <c r="BP387" s="8"/>
    </row>
    <row r="388" spans="4:68" ht="11.25" hidden="1">
      <c r="D388" s="13"/>
      <c r="N388" s="5"/>
      <c r="P388" s="5"/>
      <c r="AN388" s="7"/>
      <c r="AO388" s="5"/>
      <c r="AQ388" s="5"/>
      <c r="BM388" s="13"/>
      <c r="BN388" s="8"/>
      <c r="BO388" s="8"/>
      <c r="BP388" s="8"/>
    </row>
    <row r="389" spans="4:68" ht="11.25" hidden="1">
      <c r="D389" s="13"/>
      <c r="N389" s="5"/>
      <c r="P389" s="5"/>
      <c r="AN389" s="7"/>
      <c r="AO389" s="5"/>
      <c r="AQ389" s="5"/>
      <c r="BM389" s="13"/>
      <c r="BN389" s="8"/>
      <c r="BO389" s="8"/>
      <c r="BP389" s="8"/>
    </row>
    <row r="390" spans="4:68" ht="11.25" hidden="1">
      <c r="D390" s="13"/>
      <c r="N390" s="5"/>
      <c r="P390" s="5"/>
      <c r="AN390" s="7"/>
      <c r="AO390" s="5"/>
      <c r="AQ390" s="5"/>
      <c r="BM390" s="13"/>
      <c r="BN390" s="8"/>
      <c r="BO390" s="8"/>
      <c r="BP390" s="8"/>
    </row>
    <row r="391" spans="4:68" ht="11.25" hidden="1">
      <c r="D391" s="13"/>
      <c r="N391" s="5"/>
      <c r="P391" s="5"/>
      <c r="AN391" s="7"/>
      <c r="AO391" s="5"/>
      <c r="AQ391" s="5"/>
      <c r="BM391" s="13"/>
      <c r="BN391" s="8"/>
      <c r="BO391" s="8"/>
      <c r="BP391" s="8"/>
    </row>
    <row r="392" spans="4:68" ht="11.25" hidden="1">
      <c r="D392" s="13"/>
      <c r="N392" s="5"/>
      <c r="P392" s="5"/>
      <c r="AN392" s="7"/>
      <c r="AO392" s="5"/>
      <c r="AQ392" s="5"/>
      <c r="BM392" s="13"/>
      <c r="BN392" s="8"/>
      <c r="BO392" s="8"/>
      <c r="BP392" s="8"/>
    </row>
    <row r="393" spans="4:68" ht="11.25" hidden="1">
      <c r="D393" s="13"/>
      <c r="N393" s="5"/>
      <c r="P393" s="5"/>
      <c r="AN393" s="7"/>
      <c r="AO393" s="5"/>
      <c r="AQ393" s="5"/>
      <c r="BM393" s="13"/>
      <c r="BN393" s="8"/>
      <c r="BO393" s="8"/>
      <c r="BP393" s="8"/>
    </row>
    <row r="394" spans="4:68" ht="11.25" hidden="1">
      <c r="D394" s="13"/>
      <c r="N394" s="5"/>
      <c r="P394" s="5"/>
      <c r="AN394" s="7"/>
      <c r="AO394" s="5"/>
      <c r="AQ394" s="5"/>
      <c r="BM394" s="13"/>
      <c r="BN394" s="8"/>
      <c r="BO394" s="8"/>
      <c r="BP394" s="8"/>
    </row>
    <row r="395" spans="4:68" ht="11.25" hidden="1">
      <c r="D395" s="13"/>
      <c r="N395" s="5"/>
      <c r="P395" s="5"/>
      <c r="AN395" s="7"/>
      <c r="AO395" s="5"/>
      <c r="AQ395" s="5"/>
      <c r="BM395" s="13"/>
      <c r="BN395" s="8"/>
      <c r="BO395" s="8"/>
      <c r="BP395" s="8"/>
    </row>
    <row r="396" spans="4:68" ht="11.25" hidden="1">
      <c r="D396" s="13"/>
      <c r="N396" s="5"/>
      <c r="P396" s="5"/>
      <c r="AN396" s="7"/>
      <c r="AO396" s="5"/>
      <c r="AQ396" s="5"/>
      <c r="BM396" s="13"/>
      <c r="BN396" s="8"/>
      <c r="BO396" s="8"/>
      <c r="BP396" s="8"/>
    </row>
    <row r="397" spans="4:68" ht="11.25" hidden="1">
      <c r="D397" s="13"/>
      <c r="N397" s="5"/>
      <c r="P397" s="5"/>
      <c r="AN397" s="7"/>
      <c r="AO397" s="5"/>
      <c r="AQ397" s="5"/>
      <c r="BM397" s="13"/>
      <c r="BN397" s="8"/>
      <c r="BO397" s="8"/>
      <c r="BP397" s="8"/>
    </row>
    <row r="398" spans="4:68" ht="11.25" hidden="1">
      <c r="D398" s="13"/>
      <c r="N398" s="5"/>
      <c r="P398" s="5"/>
      <c r="AN398" s="7"/>
      <c r="AO398" s="5"/>
      <c r="AQ398" s="5"/>
      <c r="BM398" s="13"/>
      <c r="BN398" s="8"/>
      <c r="BO398" s="8"/>
      <c r="BP398" s="8"/>
    </row>
    <row r="399" spans="4:68" ht="11.25" hidden="1">
      <c r="D399" s="13"/>
      <c r="N399" s="5"/>
      <c r="P399" s="5"/>
      <c r="AN399" s="7"/>
      <c r="AO399" s="5"/>
      <c r="AQ399" s="5"/>
      <c r="BM399" s="13"/>
      <c r="BN399" s="8"/>
      <c r="BO399" s="8"/>
      <c r="BP399" s="8"/>
    </row>
    <row r="400" spans="4:68" ht="11.25" hidden="1">
      <c r="D400" s="13"/>
      <c r="N400" s="5"/>
      <c r="P400" s="5"/>
      <c r="AN400" s="7"/>
      <c r="AO400" s="5"/>
      <c r="AQ400" s="5"/>
      <c r="BM400" s="13"/>
      <c r="BN400" s="8"/>
      <c r="BO400" s="8"/>
      <c r="BP400" s="8"/>
    </row>
    <row r="401" spans="4:68" ht="11.25" hidden="1">
      <c r="D401" s="13"/>
      <c r="N401" s="5"/>
      <c r="P401" s="5"/>
      <c r="AN401" s="7"/>
      <c r="AO401" s="5"/>
      <c r="AQ401" s="5"/>
      <c r="BM401" s="13"/>
      <c r="BN401" s="8"/>
      <c r="BO401" s="8"/>
      <c r="BP401" s="8"/>
    </row>
    <row r="402" spans="4:68" ht="11.25" hidden="1">
      <c r="D402" s="13"/>
      <c r="N402" s="5"/>
      <c r="P402" s="5"/>
      <c r="AN402" s="7"/>
      <c r="AO402" s="5"/>
      <c r="AQ402" s="5"/>
      <c r="BM402" s="13"/>
      <c r="BN402" s="8"/>
      <c r="BO402" s="8"/>
      <c r="BP402" s="8"/>
    </row>
    <row r="403" spans="4:68" ht="11.25" hidden="1">
      <c r="D403" s="13"/>
      <c r="N403" s="5"/>
      <c r="P403" s="5"/>
      <c r="AN403" s="7"/>
      <c r="AO403" s="5"/>
      <c r="AQ403" s="5"/>
      <c r="BM403" s="13"/>
      <c r="BN403" s="8"/>
      <c r="BO403" s="8"/>
      <c r="BP403" s="8"/>
    </row>
    <row r="404" spans="4:68" ht="11.25" hidden="1">
      <c r="D404" s="13"/>
      <c r="N404" s="5"/>
      <c r="P404" s="5"/>
      <c r="AN404" s="7"/>
      <c r="AO404" s="5"/>
      <c r="AQ404" s="5"/>
      <c r="BM404" s="13"/>
      <c r="BN404" s="8"/>
      <c r="BO404" s="8"/>
      <c r="BP404" s="8"/>
    </row>
    <row r="405" spans="4:68" ht="11.25" hidden="1">
      <c r="D405" s="13"/>
      <c r="N405" s="5"/>
      <c r="P405" s="5"/>
      <c r="AN405" s="7"/>
      <c r="AO405" s="5"/>
      <c r="AQ405" s="5"/>
      <c r="BM405" s="13"/>
      <c r="BN405" s="8"/>
      <c r="BO405" s="8"/>
      <c r="BP405" s="8"/>
    </row>
    <row r="406" spans="4:68" ht="11.25" hidden="1">
      <c r="D406" s="13"/>
      <c r="N406" s="5"/>
      <c r="P406" s="5"/>
      <c r="AN406" s="7"/>
      <c r="AO406" s="5"/>
      <c r="AQ406" s="5"/>
      <c r="BM406" s="13"/>
      <c r="BN406" s="8"/>
      <c r="BO406" s="8"/>
      <c r="BP406" s="8"/>
    </row>
    <row r="407" spans="4:68" ht="11.25" hidden="1">
      <c r="D407" s="13"/>
      <c r="N407" s="5"/>
      <c r="P407" s="5"/>
      <c r="AN407" s="7"/>
      <c r="AO407" s="5"/>
      <c r="AQ407" s="5"/>
      <c r="BM407" s="13"/>
      <c r="BN407" s="8"/>
      <c r="BO407" s="8"/>
      <c r="BP407" s="8"/>
    </row>
    <row r="408" spans="4:68" ht="11.25" hidden="1">
      <c r="D408" s="13"/>
      <c r="N408" s="5"/>
      <c r="P408" s="5"/>
      <c r="AN408" s="7"/>
      <c r="AO408" s="5"/>
      <c r="AQ408" s="5"/>
      <c r="BM408" s="13"/>
      <c r="BN408" s="8"/>
      <c r="BO408" s="8"/>
      <c r="BP408" s="8"/>
    </row>
    <row r="409" spans="4:68" ht="11.25" hidden="1">
      <c r="D409" s="13"/>
      <c r="N409" s="5"/>
      <c r="P409" s="5"/>
      <c r="AN409" s="7"/>
      <c r="AO409" s="5"/>
      <c r="AQ409" s="5"/>
      <c r="BM409" s="13"/>
      <c r="BN409" s="8"/>
      <c r="BO409" s="8"/>
      <c r="BP409" s="8"/>
    </row>
    <row r="410" spans="4:68" ht="11.25" hidden="1">
      <c r="D410" s="13"/>
      <c r="N410" s="5"/>
      <c r="P410" s="5"/>
      <c r="AN410" s="7"/>
      <c r="AO410" s="5"/>
      <c r="AQ410" s="5"/>
      <c r="BM410" s="13"/>
      <c r="BN410" s="8"/>
      <c r="BO410" s="8"/>
      <c r="BP410" s="8"/>
    </row>
    <row r="411" spans="4:68" ht="11.25" hidden="1">
      <c r="D411" s="13"/>
      <c r="N411" s="5"/>
      <c r="P411" s="5"/>
      <c r="AN411" s="7"/>
      <c r="AO411" s="5"/>
      <c r="AQ411" s="5"/>
      <c r="BM411" s="13"/>
      <c r="BN411" s="8"/>
      <c r="BO411" s="8"/>
      <c r="BP411" s="8"/>
    </row>
    <row r="412" spans="4:68" ht="11.25" hidden="1">
      <c r="D412" s="13"/>
      <c r="N412" s="5"/>
      <c r="P412" s="5"/>
      <c r="AN412" s="7"/>
      <c r="AO412" s="5"/>
      <c r="AQ412" s="5"/>
      <c r="BM412" s="13"/>
      <c r="BN412" s="8"/>
      <c r="BO412" s="8"/>
      <c r="BP412" s="8"/>
    </row>
    <row r="413" spans="4:68" ht="11.25" hidden="1">
      <c r="D413" s="13"/>
      <c r="N413" s="5"/>
      <c r="P413" s="5"/>
      <c r="AN413" s="7"/>
      <c r="AO413" s="5"/>
      <c r="AQ413" s="5"/>
      <c r="BM413" s="13"/>
      <c r="BN413" s="8"/>
      <c r="BO413" s="8"/>
      <c r="BP413" s="8"/>
    </row>
    <row r="414" spans="4:68" ht="11.25" hidden="1">
      <c r="D414" s="13"/>
      <c r="N414" s="5"/>
      <c r="P414" s="5"/>
      <c r="AN414" s="7"/>
      <c r="AO414" s="5"/>
      <c r="AQ414" s="5"/>
      <c r="BM414" s="13"/>
      <c r="BN414" s="8"/>
      <c r="BO414" s="8"/>
      <c r="BP414" s="8"/>
    </row>
    <row r="415" spans="4:68" ht="11.25" hidden="1">
      <c r="D415" s="13"/>
      <c r="N415" s="5"/>
      <c r="P415" s="5"/>
      <c r="AN415" s="7"/>
      <c r="AO415" s="5"/>
      <c r="AQ415" s="5"/>
      <c r="BM415" s="13"/>
      <c r="BN415" s="8"/>
      <c r="BO415" s="8"/>
      <c r="BP415" s="8"/>
    </row>
    <row r="416" spans="4:68" ht="11.25" hidden="1">
      <c r="D416" s="13"/>
      <c r="N416" s="5"/>
      <c r="P416" s="5"/>
      <c r="AN416" s="7"/>
      <c r="AO416" s="5"/>
      <c r="AQ416" s="5"/>
      <c r="BM416" s="13"/>
      <c r="BN416" s="8"/>
      <c r="BO416" s="8"/>
      <c r="BP416" s="8"/>
    </row>
    <row r="417" spans="4:68" ht="11.25" hidden="1">
      <c r="D417" s="13"/>
      <c r="N417" s="5"/>
      <c r="P417" s="5"/>
      <c r="AN417" s="7"/>
      <c r="AO417" s="5"/>
      <c r="AQ417" s="5"/>
      <c r="BM417" s="13"/>
      <c r="BN417" s="8"/>
      <c r="BO417" s="8"/>
      <c r="BP417" s="8"/>
    </row>
    <row r="418" spans="4:68" ht="11.25" hidden="1">
      <c r="D418" s="13"/>
      <c r="N418" s="5"/>
      <c r="P418" s="5"/>
      <c r="AN418" s="7"/>
      <c r="AO418" s="5"/>
      <c r="AQ418" s="5"/>
      <c r="BM418" s="13"/>
      <c r="BN418" s="8"/>
      <c r="BO418" s="8"/>
      <c r="BP418" s="8"/>
    </row>
    <row r="419" spans="4:68" ht="11.25" hidden="1">
      <c r="D419" s="13"/>
      <c r="N419" s="5"/>
      <c r="P419" s="5"/>
      <c r="AN419" s="7"/>
      <c r="AO419" s="5"/>
      <c r="AQ419" s="5"/>
      <c r="BM419" s="13"/>
      <c r="BN419" s="8"/>
      <c r="BO419" s="8"/>
      <c r="BP419" s="8"/>
    </row>
    <row r="420" spans="4:68" ht="11.25" hidden="1">
      <c r="D420" s="13"/>
      <c r="N420" s="5"/>
      <c r="P420" s="5"/>
      <c r="AN420" s="7"/>
      <c r="AO420" s="5"/>
      <c r="AQ420" s="5"/>
      <c r="BM420" s="13"/>
      <c r="BN420" s="8"/>
      <c r="BO420" s="8"/>
      <c r="BP420" s="8"/>
    </row>
    <row r="421" spans="4:68" ht="11.25" hidden="1">
      <c r="D421" s="13"/>
      <c r="N421" s="5"/>
      <c r="P421" s="5"/>
      <c r="AN421" s="7"/>
      <c r="AO421" s="5"/>
      <c r="AQ421" s="5"/>
      <c r="BM421" s="13"/>
      <c r="BN421" s="8"/>
      <c r="BO421" s="8"/>
      <c r="BP421" s="8"/>
    </row>
    <row r="422" spans="4:68" ht="11.25" hidden="1">
      <c r="D422" s="13"/>
      <c r="N422" s="5"/>
      <c r="P422" s="5"/>
      <c r="AN422" s="7"/>
      <c r="AO422" s="5"/>
      <c r="AQ422" s="5"/>
      <c r="BM422" s="13"/>
      <c r="BN422" s="8"/>
      <c r="BO422" s="8"/>
      <c r="BP422" s="8"/>
    </row>
    <row r="423" spans="4:68" ht="11.25" hidden="1">
      <c r="D423" s="13"/>
      <c r="N423" s="5"/>
      <c r="P423" s="5"/>
      <c r="AN423" s="7"/>
      <c r="AO423" s="5"/>
      <c r="AQ423" s="5"/>
      <c r="BM423" s="13"/>
      <c r="BN423" s="8"/>
      <c r="BO423" s="8"/>
      <c r="BP423" s="8"/>
    </row>
    <row r="424" spans="4:68" ht="11.25" hidden="1">
      <c r="D424" s="13"/>
      <c r="N424" s="5"/>
      <c r="P424" s="5"/>
      <c r="AN424" s="7"/>
      <c r="AO424" s="5"/>
      <c r="AQ424" s="5"/>
      <c r="BM424" s="13"/>
      <c r="BN424" s="8"/>
      <c r="BO424" s="8"/>
      <c r="BP424" s="8"/>
    </row>
    <row r="425" spans="4:68" ht="11.25" hidden="1">
      <c r="D425" s="13"/>
      <c r="N425" s="5"/>
      <c r="P425" s="5"/>
      <c r="AN425" s="7"/>
      <c r="AO425" s="5"/>
      <c r="AQ425" s="5"/>
      <c r="BM425" s="13"/>
      <c r="BN425" s="8"/>
      <c r="BO425" s="8"/>
      <c r="BP425" s="8"/>
    </row>
    <row r="426" spans="4:68" ht="11.25" hidden="1">
      <c r="D426" s="13"/>
      <c r="N426" s="5"/>
      <c r="P426" s="5"/>
      <c r="AN426" s="7"/>
      <c r="AO426" s="5"/>
      <c r="AQ426" s="5"/>
      <c r="BM426" s="13"/>
      <c r="BN426" s="8"/>
      <c r="BO426" s="8"/>
      <c r="BP426" s="8"/>
    </row>
    <row r="427" spans="4:68" ht="11.25" hidden="1">
      <c r="D427" s="13"/>
      <c r="N427" s="5"/>
      <c r="P427" s="5"/>
      <c r="AN427" s="7"/>
      <c r="AO427" s="5"/>
      <c r="AQ427" s="5"/>
      <c r="BM427" s="13"/>
      <c r="BN427" s="8"/>
      <c r="BO427" s="8"/>
      <c r="BP427" s="8"/>
    </row>
    <row r="428" spans="4:68" ht="11.25" hidden="1">
      <c r="D428" s="13"/>
      <c r="N428" s="5"/>
      <c r="P428" s="5"/>
      <c r="AN428" s="7"/>
      <c r="AO428" s="5"/>
      <c r="AQ428" s="5"/>
      <c r="BM428" s="13"/>
      <c r="BN428" s="8"/>
      <c r="BO428" s="8"/>
      <c r="BP428" s="8"/>
    </row>
    <row r="429" ht="11.25" hidden="1">
      <c r="D429" s="13"/>
    </row>
    <row r="430" ht="11.25" hidden="1">
      <c r="D430" s="13"/>
    </row>
    <row r="431" ht="11.25" hidden="1">
      <c r="D431" s="13"/>
    </row>
    <row r="432" ht="11.25" hidden="1">
      <c r="D432" s="13"/>
    </row>
    <row r="433" ht="11.25" hidden="1">
      <c r="D433" s="13"/>
    </row>
    <row r="434" ht="11.25" hidden="1">
      <c r="D434" s="13"/>
    </row>
    <row r="435" ht="11.25" hidden="1">
      <c r="D435" s="13"/>
    </row>
    <row r="436" ht="11.25" hidden="1">
      <c r="D436" s="13"/>
    </row>
    <row r="437" ht="11.25" hidden="1">
      <c r="D437" s="13"/>
    </row>
    <row r="438" ht="11.25" hidden="1">
      <c r="D438" s="13"/>
    </row>
    <row r="439" ht="11.25" hidden="1">
      <c r="D439" s="13"/>
    </row>
    <row r="440" ht="11.25" hidden="1">
      <c r="D440" s="13"/>
    </row>
    <row r="441" ht="11.25" hidden="1">
      <c r="D441" s="13"/>
    </row>
    <row r="442" ht="11.25" hidden="1">
      <c r="D442" s="13"/>
    </row>
    <row r="443" ht="11.25" hidden="1">
      <c r="D443" s="13"/>
    </row>
    <row r="444" ht="11.25" hidden="1">
      <c r="D444" s="13"/>
    </row>
    <row r="445" ht="11.25" hidden="1">
      <c r="D445" s="13"/>
    </row>
    <row r="446" ht="11.25" hidden="1">
      <c r="D446" s="13"/>
    </row>
    <row r="447" ht="11.25" hidden="1">
      <c r="D447" s="13"/>
    </row>
    <row r="448" ht="11.25" hidden="1">
      <c r="D448" s="13"/>
    </row>
    <row r="449" ht="11.25" hidden="1">
      <c r="D449" s="13"/>
    </row>
    <row r="450" ht="11.25" hidden="1">
      <c r="D450" s="13"/>
    </row>
    <row r="451" ht="11.25" hidden="1">
      <c r="D451" s="13"/>
    </row>
    <row r="452" ht="11.25" hidden="1">
      <c r="D452" s="13"/>
    </row>
    <row r="453" ht="11.25" hidden="1">
      <c r="D453" s="13"/>
    </row>
    <row r="454" ht="11.25" hidden="1">
      <c r="D454" s="13"/>
    </row>
    <row r="455" ht="11.25" hidden="1">
      <c r="D455" s="13"/>
    </row>
    <row r="456" ht="11.25" hidden="1">
      <c r="D456" s="13"/>
    </row>
    <row r="457" ht="11.25" hidden="1">
      <c r="D457" s="13"/>
    </row>
    <row r="458" ht="11.25" hidden="1">
      <c r="D458" s="13"/>
    </row>
    <row r="459" ht="11.25" hidden="1">
      <c r="D459" s="13"/>
    </row>
    <row r="460" ht="11.25" hidden="1">
      <c r="D460" s="13"/>
    </row>
    <row r="461" ht="11.25" hidden="1">
      <c r="D461" s="13"/>
    </row>
    <row r="462" ht="11.25" hidden="1">
      <c r="D462" s="13"/>
    </row>
    <row r="463" ht="11.25" hidden="1">
      <c r="D463" s="13"/>
    </row>
    <row r="464" ht="11.25" hidden="1">
      <c r="D464" s="13"/>
    </row>
    <row r="465" ht="11.25" hidden="1">
      <c r="D465" s="13"/>
    </row>
    <row r="466" ht="11.25" hidden="1">
      <c r="D466" s="13"/>
    </row>
    <row r="467" ht="11.25" hidden="1">
      <c r="D467" s="13"/>
    </row>
    <row r="468" ht="11.25" hidden="1">
      <c r="D468" s="13"/>
    </row>
    <row r="469" ht="11.25" hidden="1">
      <c r="D469" s="13"/>
    </row>
    <row r="470" ht="11.25" hidden="1">
      <c r="D470" s="13"/>
    </row>
    <row r="471" ht="11.25" hidden="1">
      <c r="D471" s="13"/>
    </row>
    <row r="472" ht="11.25" hidden="1">
      <c r="D472" s="13"/>
    </row>
    <row r="473" ht="11.25" hidden="1">
      <c r="D473" s="13"/>
    </row>
    <row r="474" ht="11.25" hidden="1">
      <c r="D474" s="13"/>
    </row>
    <row r="475" ht="11.25" hidden="1">
      <c r="D475" s="13"/>
    </row>
    <row r="476" ht="11.25" hidden="1">
      <c r="D476" s="13"/>
    </row>
    <row r="477" ht="11.25" hidden="1">
      <c r="D477" s="13"/>
    </row>
    <row r="478" ht="11.25" hidden="1">
      <c r="D478" s="13"/>
    </row>
    <row r="479" ht="11.25" hidden="1">
      <c r="D479" s="13"/>
    </row>
    <row r="480" ht="11.25" hidden="1">
      <c r="D480" s="13"/>
    </row>
    <row r="481" ht="11.25" hidden="1">
      <c r="D481" s="13"/>
    </row>
    <row r="482" ht="11.25" hidden="1">
      <c r="D482" s="13"/>
    </row>
    <row r="483" ht="11.25" hidden="1">
      <c r="D483" s="13"/>
    </row>
    <row r="484" ht="11.25" hidden="1">
      <c r="D484" s="13"/>
    </row>
    <row r="485" ht="11.25" hidden="1">
      <c r="D485" s="13"/>
    </row>
    <row r="486" ht="11.25" hidden="1">
      <c r="D486" s="13"/>
    </row>
    <row r="487" ht="11.25" hidden="1">
      <c r="D487" s="13"/>
    </row>
    <row r="488" ht="11.25" hidden="1">
      <c r="D488" s="13"/>
    </row>
    <row r="489" ht="11.25" hidden="1">
      <c r="D489" s="13"/>
    </row>
    <row r="490" ht="11.25" hidden="1">
      <c r="D490" s="13"/>
    </row>
    <row r="491" ht="11.25" hidden="1">
      <c r="D491" s="13"/>
    </row>
    <row r="492" ht="11.25" hidden="1">
      <c r="D492" s="13"/>
    </row>
    <row r="493" ht="11.25" hidden="1">
      <c r="D493" s="13"/>
    </row>
    <row r="494" ht="11.25" hidden="1">
      <c r="D494" s="13"/>
    </row>
    <row r="495" ht="11.25" hidden="1">
      <c r="D495" s="13"/>
    </row>
    <row r="496" ht="11.25" hidden="1">
      <c r="D496" s="13"/>
    </row>
    <row r="497" ht="11.25" hidden="1">
      <c r="D497" s="13"/>
    </row>
    <row r="498" ht="11.25" hidden="1">
      <c r="D498" s="13"/>
    </row>
    <row r="499" ht="11.25" hidden="1">
      <c r="D499" s="13"/>
    </row>
    <row r="500" ht="11.25" hidden="1">
      <c r="D500" s="13"/>
    </row>
    <row r="501" ht="11.25" hidden="1">
      <c r="D501" s="13"/>
    </row>
    <row r="502" ht="11.25" hidden="1">
      <c r="D502" s="13"/>
    </row>
    <row r="503" ht="11.25" hidden="1">
      <c r="D503" s="13"/>
    </row>
    <row r="504" ht="11.25" hidden="1">
      <c r="D504" s="13"/>
    </row>
    <row r="505" ht="11.25" hidden="1">
      <c r="D505" s="13"/>
    </row>
    <row r="506" ht="11.25" hidden="1">
      <c r="D506" s="13"/>
    </row>
    <row r="507" ht="11.25" hidden="1">
      <c r="D507" s="13"/>
    </row>
    <row r="508" ht="11.25" hidden="1">
      <c r="D508" s="13"/>
    </row>
    <row r="509" ht="11.25" hidden="1">
      <c r="D509" s="13"/>
    </row>
    <row r="510" ht="11.25" hidden="1">
      <c r="D510" s="13"/>
    </row>
    <row r="511" ht="11.25" hidden="1">
      <c r="D511" s="13"/>
    </row>
    <row r="512" ht="11.25" hidden="1">
      <c r="D512" s="13"/>
    </row>
    <row r="513" ht="11.25" hidden="1">
      <c r="D513" s="13"/>
    </row>
    <row r="514" ht="11.25" hidden="1">
      <c r="D514" s="13"/>
    </row>
    <row r="515" ht="11.25" hidden="1">
      <c r="D515" s="13"/>
    </row>
    <row r="516" ht="11.25" hidden="1">
      <c r="D516" s="13"/>
    </row>
    <row r="517" ht="11.25" hidden="1">
      <c r="D517" s="13"/>
    </row>
    <row r="518" ht="11.25" hidden="1">
      <c r="D518" s="13"/>
    </row>
    <row r="519" ht="11.25" hidden="1">
      <c r="D519" s="13"/>
    </row>
    <row r="520" ht="11.25" hidden="1">
      <c r="D520" s="13"/>
    </row>
    <row r="521" ht="11.25" hidden="1">
      <c r="D521" s="13"/>
    </row>
    <row r="522" ht="11.25" hidden="1">
      <c r="D522" s="13"/>
    </row>
    <row r="523" ht="11.25" hidden="1">
      <c r="D523" s="13"/>
    </row>
    <row r="524" ht="11.25" hidden="1">
      <c r="D524" s="13"/>
    </row>
    <row r="525" ht="11.25" hidden="1">
      <c r="D525" s="13"/>
    </row>
    <row r="526" ht="11.25" hidden="1">
      <c r="D526" s="13"/>
    </row>
    <row r="527" ht="11.25" hidden="1">
      <c r="D527" s="13"/>
    </row>
    <row r="528" ht="11.25" hidden="1">
      <c r="D528" s="13"/>
    </row>
    <row r="529" ht="11.25" hidden="1">
      <c r="D529" s="13"/>
    </row>
    <row r="530" ht="11.25" hidden="1">
      <c r="D530" s="13"/>
    </row>
    <row r="531" ht="11.25" hidden="1">
      <c r="D531" s="13"/>
    </row>
    <row r="532" ht="11.25" hidden="1">
      <c r="D532" s="13"/>
    </row>
    <row r="533" ht="11.25" hidden="1">
      <c r="D533" s="13"/>
    </row>
    <row r="534" ht="11.25" hidden="1">
      <c r="D534" s="13"/>
    </row>
    <row r="535" ht="11.25" hidden="1">
      <c r="D535" s="13"/>
    </row>
    <row r="536" ht="11.25" hidden="1">
      <c r="D536" s="13"/>
    </row>
    <row r="537" ht="11.25" hidden="1">
      <c r="D537" s="13"/>
    </row>
    <row r="538" ht="11.25" hidden="1">
      <c r="D538" s="13"/>
    </row>
    <row r="539" ht="11.25" hidden="1">
      <c r="D539" s="13"/>
    </row>
    <row r="540" ht="11.25" hidden="1">
      <c r="D540" s="13"/>
    </row>
    <row r="541" ht="11.25" hidden="1">
      <c r="D541" s="13"/>
    </row>
    <row r="542" ht="11.25" hidden="1">
      <c r="D542" s="13"/>
    </row>
    <row r="543" ht="11.25" hidden="1">
      <c r="D543" s="13"/>
    </row>
    <row r="544" ht="11.25" hidden="1">
      <c r="D544" s="13"/>
    </row>
    <row r="545" ht="11.25" hidden="1">
      <c r="D545" s="13"/>
    </row>
    <row r="546" ht="11.25" hidden="1">
      <c r="D546" s="13"/>
    </row>
    <row r="547" ht="11.25" hidden="1">
      <c r="D547" s="13"/>
    </row>
    <row r="548" ht="11.25" hidden="1">
      <c r="D548" s="13"/>
    </row>
    <row r="549" ht="11.25" hidden="1">
      <c r="D549" s="13"/>
    </row>
    <row r="550" ht="11.25" hidden="1">
      <c r="D550" s="13"/>
    </row>
    <row r="551" ht="11.25" hidden="1">
      <c r="D551" s="13"/>
    </row>
    <row r="552" ht="11.25" hidden="1">
      <c r="D552" s="13"/>
    </row>
    <row r="553" ht="11.25" hidden="1">
      <c r="D553" s="13"/>
    </row>
    <row r="554" ht="11.25" hidden="1">
      <c r="D554" s="13"/>
    </row>
    <row r="555" ht="11.25" hidden="1">
      <c r="D555" s="13"/>
    </row>
    <row r="556" ht="11.25" hidden="1">
      <c r="D556" s="13"/>
    </row>
    <row r="557" ht="11.25" hidden="1">
      <c r="D557" s="13"/>
    </row>
    <row r="558" ht="11.25" hidden="1">
      <c r="D558" s="13"/>
    </row>
    <row r="559" ht="11.25" hidden="1">
      <c r="D559" s="13"/>
    </row>
    <row r="560" ht="11.25" hidden="1">
      <c r="D560" s="13"/>
    </row>
    <row r="561" ht="11.25" hidden="1">
      <c r="D561" s="13"/>
    </row>
    <row r="562" ht="11.25" hidden="1">
      <c r="D562" s="13"/>
    </row>
    <row r="563" ht="11.25" hidden="1">
      <c r="D563" s="13"/>
    </row>
    <row r="564" ht="11.25" hidden="1">
      <c r="D564" s="13"/>
    </row>
    <row r="565" ht="11.25" hidden="1">
      <c r="D565" s="13"/>
    </row>
    <row r="566" ht="11.25" hidden="1">
      <c r="D566" s="13"/>
    </row>
    <row r="567" ht="11.25" hidden="1">
      <c r="D567" s="13"/>
    </row>
    <row r="568" ht="11.25" hidden="1">
      <c r="D568" s="13"/>
    </row>
    <row r="569" ht="11.25" hidden="1">
      <c r="D569" s="13"/>
    </row>
    <row r="570" ht="11.25" hidden="1">
      <c r="D570" s="13"/>
    </row>
    <row r="571" ht="11.25" hidden="1">
      <c r="D571" s="13"/>
    </row>
    <row r="572" ht="11.25" hidden="1">
      <c r="D572" s="13"/>
    </row>
    <row r="573" ht="11.25" hidden="1">
      <c r="D573" s="13"/>
    </row>
    <row r="574" ht="11.25" hidden="1">
      <c r="D574" s="13"/>
    </row>
    <row r="575" ht="11.25" hidden="1">
      <c r="D575" s="13"/>
    </row>
    <row r="576" ht="11.25" hidden="1">
      <c r="D576" s="13"/>
    </row>
    <row r="577" ht="11.25" hidden="1">
      <c r="D577" s="13"/>
    </row>
    <row r="578" ht="11.25" hidden="1">
      <c r="D578" s="13"/>
    </row>
    <row r="579" ht="11.25" hidden="1">
      <c r="D579" s="13"/>
    </row>
    <row r="580" ht="11.25" hidden="1">
      <c r="D580" s="13"/>
    </row>
    <row r="581" ht="11.25" hidden="1">
      <c r="D581" s="13"/>
    </row>
    <row r="582" ht="11.25" hidden="1">
      <c r="D582" s="13"/>
    </row>
    <row r="583" ht="11.25" hidden="1">
      <c r="D583" s="13"/>
    </row>
    <row r="584" ht="11.25" hidden="1">
      <c r="D584" s="13"/>
    </row>
    <row r="585" ht="11.25" hidden="1">
      <c r="D585" s="13"/>
    </row>
    <row r="586" ht="11.25" hidden="1">
      <c r="D586" s="13"/>
    </row>
    <row r="587" ht="11.25" hidden="1">
      <c r="D587" s="13"/>
    </row>
    <row r="588" ht="11.25" hidden="1">
      <c r="D588" s="13"/>
    </row>
    <row r="589" ht="11.25" hidden="1">
      <c r="D589" s="13"/>
    </row>
    <row r="590" ht="11.25" hidden="1">
      <c r="D590" s="13"/>
    </row>
    <row r="591" ht="11.25" hidden="1">
      <c r="D591" s="13"/>
    </row>
    <row r="592" ht="11.25" hidden="1">
      <c r="D592" s="13"/>
    </row>
    <row r="593" ht="11.25" hidden="1">
      <c r="D593" s="13"/>
    </row>
    <row r="594" ht="11.25" hidden="1">
      <c r="D594" s="13"/>
    </row>
    <row r="595" ht="11.25" hidden="1">
      <c r="D595" s="13"/>
    </row>
    <row r="596" ht="11.25" hidden="1">
      <c r="D596" s="13"/>
    </row>
    <row r="597" ht="11.25" hidden="1">
      <c r="D597" s="13"/>
    </row>
    <row r="598" ht="11.25" hidden="1">
      <c r="D598" s="13"/>
    </row>
    <row r="599" ht="11.25" hidden="1">
      <c r="D599" s="13"/>
    </row>
    <row r="600" ht="11.25" hidden="1">
      <c r="D600" s="13"/>
    </row>
    <row r="601" ht="11.25" hidden="1">
      <c r="D601" s="13"/>
    </row>
    <row r="602" ht="11.25" hidden="1">
      <c r="D602" s="13"/>
    </row>
    <row r="603" ht="11.25" hidden="1">
      <c r="D603" s="13"/>
    </row>
    <row r="604" ht="11.25" hidden="1">
      <c r="D604" s="13"/>
    </row>
    <row r="605" ht="11.25" hidden="1">
      <c r="D605" s="13"/>
    </row>
    <row r="606" ht="11.25" hidden="1">
      <c r="D606" s="13"/>
    </row>
    <row r="607" ht="11.25" hidden="1">
      <c r="D607" s="13"/>
    </row>
    <row r="608" ht="11.25" hidden="1">
      <c r="D608" s="13"/>
    </row>
    <row r="609" ht="11.25" hidden="1">
      <c r="D609" s="13"/>
    </row>
    <row r="610" ht="11.25" hidden="1">
      <c r="D610" s="13"/>
    </row>
    <row r="611" ht="11.25" hidden="1">
      <c r="D611" s="13"/>
    </row>
    <row r="612" ht="11.25" hidden="1">
      <c r="D612" s="13"/>
    </row>
    <row r="613" ht="11.25" hidden="1">
      <c r="D613" s="13"/>
    </row>
    <row r="614" ht="11.25" hidden="1">
      <c r="D614" s="13"/>
    </row>
    <row r="615" ht="11.25" hidden="1">
      <c r="D615" s="13"/>
    </row>
    <row r="616" ht="11.25" hidden="1">
      <c r="D616" s="13"/>
    </row>
    <row r="617" ht="11.25" hidden="1">
      <c r="D617" s="13"/>
    </row>
    <row r="618" ht="11.25" hidden="1">
      <c r="D618" s="13"/>
    </row>
    <row r="619" ht="11.25" hidden="1">
      <c r="D619" s="13"/>
    </row>
    <row r="620" ht="11.25" hidden="1">
      <c r="D620" s="13"/>
    </row>
    <row r="621" ht="11.25" hidden="1">
      <c r="D621" s="13"/>
    </row>
    <row r="622" ht="11.25" hidden="1">
      <c r="D622" s="13"/>
    </row>
    <row r="623" ht="11.25" hidden="1">
      <c r="D623" s="13"/>
    </row>
    <row r="624" ht="11.25" hidden="1">
      <c r="D624" s="13"/>
    </row>
    <row r="625" ht="11.25" hidden="1">
      <c r="D625" s="13"/>
    </row>
    <row r="626" ht="11.25" hidden="1">
      <c r="D626" s="13"/>
    </row>
    <row r="627" ht="11.25" hidden="1">
      <c r="D627" s="13"/>
    </row>
    <row r="628" ht="11.25" hidden="1">
      <c r="D628" s="13"/>
    </row>
    <row r="629" ht="11.25" hidden="1">
      <c r="D629" s="13"/>
    </row>
    <row r="630" ht="11.25" hidden="1">
      <c r="D630" s="13"/>
    </row>
    <row r="631" ht="11.25" hidden="1">
      <c r="D631" s="13"/>
    </row>
    <row r="632" ht="11.25" hidden="1">
      <c r="D632" s="13"/>
    </row>
    <row r="633" ht="11.25" hidden="1">
      <c r="D633" s="13"/>
    </row>
    <row r="634" ht="11.25" hidden="1">
      <c r="D634" s="13"/>
    </row>
    <row r="635" ht="11.25" hidden="1">
      <c r="D635" s="13"/>
    </row>
    <row r="636" ht="11.25" hidden="1">
      <c r="D636" s="13"/>
    </row>
    <row r="637" ht="11.25" hidden="1">
      <c r="D637" s="13"/>
    </row>
    <row r="638" ht="11.25" hidden="1">
      <c r="D638" s="13"/>
    </row>
    <row r="639" ht="11.25" hidden="1">
      <c r="D639" s="13"/>
    </row>
    <row r="640" ht="11.25" hidden="1">
      <c r="D640" s="13"/>
    </row>
    <row r="641" ht="11.25" hidden="1">
      <c r="D641" s="13"/>
    </row>
    <row r="642" ht="11.25" hidden="1">
      <c r="D642" s="13"/>
    </row>
    <row r="643" ht="11.25" hidden="1">
      <c r="D643" s="13"/>
    </row>
    <row r="644" ht="11.25" hidden="1">
      <c r="D644" s="13"/>
    </row>
    <row r="645" ht="11.25" hidden="1">
      <c r="D645" s="13"/>
    </row>
    <row r="646" ht="11.25" hidden="1">
      <c r="D646" s="13"/>
    </row>
    <row r="647" ht="11.25" hidden="1">
      <c r="D647" s="13"/>
    </row>
    <row r="648" ht="11.25" hidden="1">
      <c r="D648" s="13"/>
    </row>
    <row r="649" ht="11.25" hidden="1">
      <c r="D649" s="13"/>
    </row>
    <row r="650" ht="11.25" hidden="1">
      <c r="D650" s="13"/>
    </row>
    <row r="651" ht="11.25" hidden="1">
      <c r="D651" s="13"/>
    </row>
    <row r="652" ht="11.25" hidden="1">
      <c r="D652" s="13"/>
    </row>
    <row r="653" ht="11.25" hidden="1">
      <c r="D653" s="13"/>
    </row>
    <row r="654" ht="11.25" hidden="1">
      <c r="D654" s="13"/>
    </row>
    <row r="655" ht="11.25" hidden="1">
      <c r="D655" s="13"/>
    </row>
    <row r="656" ht="11.25" hidden="1">
      <c r="D656" s="13"/>
    </row>
    <row r="657" ht="11.25" hidden="1">
      <c r="D657" s="13"/>
    </row>
    <row r="658" ht="11.25" hidden="1">
      <c r="D658" s="13"/>
    </row>
    <row r="659" ht="11.25" hidden="1">
      <c r="D659" s="13"/>
    </row>
    <row r="660" ht="11.25" hidden="1">
      <c r="D660" s="13"/>
    </row>
    <row r="661" ht="11.25" hidden="1">
      <c r="D661" s="13"/>
    </row>
    <row r="662" ht="11.25" hidden="1">
      <c r="D662" s="13"/>
    </row>
    <row r="663" ht="11.25" hidden="1">
      <c r="D663" s="13"/>
    </row>
    <row r="664" ht="11.25" hidden="1">
      <c r="D664" s="13"/>
    </row>
    <row r="665" ht="11.25" hidden="1">
      <c r="D665" s="13"/>
    </row>
    <row r="666" ht="11.25" hidden="1">
      <c r="D666" s="13"/>
    </row>
    <row r="667" ht="11.25" hidden="1">
      <c r="D667" s="13"/>
    </row>
    <row r="668" ht="11.25" hidden="1">
      <c r="D668" s="13"/>
    </row>
    <row r="669" ht="11.25" hidden="1">
      <c r="D669" s="13"/>
    </row>
    <row r="670" ht="11.25" hidden="1">
      <c r="D670" s="13"/>
    </row>
    <row r="671" ht="11.25" hidden="1">
      <c r="D671" s="13"/>
    </row>
    <row r="672" ht="11.25" hidden="1">
      <c r="D672" s="13"/>
    </row>
    <row r="673" ht="11.25" hidden="1">
      <c r="D673" s="13"/>
    </row>
    <row r="674" ht="11.25" hidden="1">
      <c r="D674" s="13"/>
    </row>
    <row r="675" ht="11.25" hidden="1">
      <c r="D675" s="13"/>
    </row>
    <row r="676" ht="11.25" hidden="1">
      <c r="D676" s="13"/>
    </row>
    <row r="677" ht="11.25" hidden="1">
      <c r="D677" s="13"/>
    </row>
    <row r="678" ht="11.25" hidden="1">
      <c r="D678" s="13"/>
    </row>
    <row r="679" ht="11.25" hidden="1">
      <c r="D679" s="13"/>
    </row>
    <row r="680" ht="11.25" hidden="1">
      <c r="D680" s="13"/>
    </row>
    <row r="681" ht="11.25" hidden="1">
      <c r="D681" s="13"/>
    </row>
    <row r="682" ht="11.25" hidden="1">
      <c r="D682" s="13"/>
    </row>
    <row r="683" ht="11.25" hidden="1">
      <c r="D683" s="13"/>
    </row>
    <row r="684" ht="11.25" hidden="1">
      <c r="D684" s="13"/>
    </row>
    <row r="685" ht="11.25" hidden="1">
      <c r="D685" s="13"/>
    </row>
    <row r="686" ht="11.25" hidden="1">
      <c r="D686" s="13"/>
    </row>
    <row r="687" ht="11.25" hidden="1">
      <c r="D687" s="13"/>
    </row>
    <row r="688" ht="11.25" hidden="1">
      <c r="D688" s="13"/>
    </row>
    <row r="689" ht="11.25" hidden="1">
      <c r="D689" s="13"/>
    </row>
    <row r="690" ht="11.25" hidden="1">
      <c r="D690" s="13"/>
    </row>
    <row r="691" ht="11.25" hidden="1">
      <c r="D691" s="13"/>
    </row>
    <row r="692" ht="11.25" hidden="1">
      <c r="D692" s="13"/>
    </row>
    <row r="693" ht="11.25" hidden="1">
      <c r="D693" s="13"/>
    </row>
    <row r="694" ht="11.25" hidden="1">
      <c r="D694" s="13"/>
    </row>
    <row r="695" ht="11.25" hidden="1">
      <c r="D695" s="13"/>
    </row>
    <row r="696" ht="11.25" hidden="1">
      <c r="D696" s="13"/>
    </row>
    <row r="697" ht="11.25" hidden="1">
      <c r="D697" s="13"/>
    </row>
    <row r="698" ht="11.25" hidden="1">
      <c r="D698" s="13"/>
    </row>
    <row r="699" ht="11.25" hidden="1">
      <c r="D699" s="13"/>
    </row>
    <row r="700" ht="11.25" hidden="1">
      <c r="D700" s="13"/>
    </row>
    <row r="701" ht="11.25" hidden="1">
      <c r="D701" s="13"/>
    </row>
    <row r="702" ht="11.25" hidden="1">
      <c r="D702" s="13"/>
    </row>
    <row r="703" ht="11.25" hidden="1">
      <c r="D703" s="13"/>
    </row>
    <row r="704" ht="11.25" hidden="1">
      <c r="D704" s="13"/>
    </row>
    <row r="705" ht="11.25" hidden="1">
      <c r="D705" s="13"/>
    </row>
    <row r="706" ht="11.25" hidden="1">
      <c r="D706" s="13"/>
    </row>
    <row r="707" ht="11.25" hidden="1">
      <c r="D707" s="13"/>
    </row>
    <row r="708" ht="11.25" hidden="1">
      <c r="D708" s="13"/>
    </row>
    <row r="709" ht="11.25" hidden="1">
      <c r="D709" s="13"/>
    </row>
    <row r="710" ht="11.25" hidden="1">
      <c r="D710" s="13"/>
    </row>
    <row r="711" ht="11.25" hidden="1">
      <c r="D711" s="13"/>
    </row>
    <row r="712" ht="11.25" hidden="1">
      <c r="D712" s="13"/>
    </row>
    <row r="713" ht="11.25" hidden="1">
      <c r="D713" s="13"/>
    </row>
    <row r="714" ht="11.25" hidden="1">
      <c r="D714" s="13"/>
    </row>
    <row r="715" ht="11.25" hidden="1">
      <c r="D715" s="13"/>
    </row>
    <row r="716" ht="11.25" hidden="1">
      <c r="D716" s="13"/>
    </row>
    <row r="717" ht="11.25" hidden="1">
      <c r="D717" s="13"/>
    </row>
    <row r="718" ht="11.25" hidden="1">
      <c r="D718" s="13"/>
    </row>
    <row r="719" ht="11.25" hidden="1">
      <c r="D719" s="13"/>
    </row>
    <row r="720" ht="11.25" hidden="1">
      <c r="D720" s="13"/>
    </row>
    <row r="721" ht="11.25" hidden="1">
      <c r="D721" s="13"/>
    </row>
    <row r="722" ht="11.25" hidden="1">
      <c r="D722" s="13"/>
    </row>
    <row r="723" ht="11.25" hidden="1">
      <c r="D723" s="13"/>
    </row>
    <row r="724" ht="11.25" hidden="1">
      <c r="D724" s="13"/>
    </row>
    <row r="725" ht="11.25" hidden="1">
      <c r="D725" s="13"/>
    </row>
    <row r="726" ht="11.25" hidden="1">
      <c r="D726" s="13"/>
    </row>
    <row r="727" ht="11.25" hidden="1">
      <c r="D727" s="13"/>
    </row>
    <row r="728" ht="11.25" hidden="1">
      <c r="D728" s="13"/>
    </row>
    <row r="729" ht="11.25" hidden="1">
      <c r="D729" s="13"/>
    </row>
    <row r="730" ht="11.25" hidden="1">
      <c r="D730" s="13"/>
    </row>
    <row r="731" ht="11.25" hidden="1">
      <c r="D731" s="13"/>
    </row>
    <row r="732" ht="11.25" hidden="1">
      <c r="D732" s="13"/>
    </row>
    <row r="733" ht="11.25" hidden="1">
      <c r="D733" s="13"/>
    </row>
    <row r="734" ht="11.25" hidden="1">
      <c r="D734" s="13"/>
    </row>
    <row r="735" ht="11.25" hidden="1">
      <c r="D735" s="13"/>
    </row>
    <row r="736" ht="11.25" hidden="1">
      <c r="D736" s="13"/>
    </row>
    <row r="737" ht="11.25" hidden="1">
      <c r="D737" s="13"/>
    </row>
    <row r="738" ht="11.25" hidden="1">
      <c r="D738" s="13"/>
    </row>
    <row r="739" ht="11.25" hidden="1">
      <c r="D739" s="13"/>
    </row>
    <row r="740" ht="11.25" hidden="1">
      <c r="D740" s="13"/>
    </row>
    <row r="741" ht="11.25" hidden="1">
      <c r="D741" s="13"/>
    </row>
    <row r="742" ht="11.25" hidden="1">
      <c r="D742" s="13"/>
    </row>
    <row r="743" ht="11.25" hidden="1">
      <c r="D743" s="13"/>
    </row>
    <row r="744" ht="11.25" hidden="1">
      <c r="D744" s="13"/>
    </row>
    <row r="745" ht="11.25" hidden="1">
      <c r="D745" s="13"/>
    </row>
    <row r="746" ht="11.25" hidden="1">
      <c r="D746" s="13"/>
    </row>
    <row r="747" ht="11.25" hidden="1">
      <c r="D747" s="13"/>
    </row>
    <row r="748" ht="11.25" hidden="1">
      <c r="D748" s="13"/>
    </row>
    <row r="749" ht="11.25" hidden="1">
      <c r="D749" s="13"/>
    </row>
    <row r="750" ht="11.25" hidden="1">
      <c r="D750" s="13"/>
    </row>
    <row r="751" ht="11.25" hidden="1">
      <c r="D751" s="13"/>
    </row>
    <row r="752" ht="11.25" hidden="1">
      <c r="D752" s="13"/>
    </row>
    <row r="753" ht="11.25" hidden="1">
      <c r="D753" s="13"/>
    </row>
    <row r="754" ht="11.25" hidden="1">
      <c r="D754" s="13"/>
    </row>
    <row r="755" ht="11.25" hidden="1">
      <c r="D755" s="13"/>
    </row>
    <row r="756" ht="11.25" hidden="1">
      <c r="D756" s="13"/>
    </row>
    <row r="757" ht="11.25" hidden="1">
      <c r="D757" s="13"/>
    </row>
    <row r="758" ht="11.25" hidden="1">
      <c r="D758" s="13"/>
    </row>
    <row r="759" ht="11.25" hidden="1">
      <c r="D759" s="13"/>
    </row>
    <row r="760" ht="11.25" hidden="1">
      <c r="D760" s="13"/>
    </row>
    <row r="761" ht="11.25" hidden="1">
      <c r="D761" s="13"/>
    </row>
    <row r="762" ht="11.25" hidden="1">
      <c r="D762" s="13"/>
    </row>
    <row r="763" ht="11.25" hidden="1">
      <c r="D763" s="13"/>
    </row>
    <row r="764" ht="11.25" hidden="1">
      <c r="D764" s="13"/>
    </row>
    <row r="765" ht="11.25" hidden="1">
      <c r="D765" s="13"/>
    </row>
    <row r="766" ht="11.25" hidden="1">
      <c r="D766" s="13"/>
    </row>
    <row r="767" ht="11.25" hidden="1">
      <c r="D767" s="13"/>
    </row>
    <row r="768" ht="11.25" hidden="1">
      <c r="D768" s="13"/>
    </row>
    <row r="769" ht="11.25" hidden="1">
      <c r="D769" s="13"/>
    </row>
    <row r="770" ht="11.25" hidden="1">
      <c r="D770" s="13"/>
    </row>
    <row r="771" ht="11.25" hidden="1">
      <c r="D771" s="13"/>
    </row>
    <row r="772" ht="11.25" hidden="1">
      <c r="D772" s="13"/>
    </row>
    <row r="773" ht="11.25" hidden="1">
      <c r="D773" s="13"/>
    </row>
    <row r="774" ht="11.25" hidden="1">
      <c r="D774" s="13"/>
    </row>
    <row r="775" ht="11.25" hidden="1">
      <c r="D775" s="13"/>
    </row>
    <row r="776" ht="11.25" hidden="1">
      <c r="D776" s="13"/>
    </row>
    <row r="777" ht="11.25" hidden="1">
      <c r="D777" s="13"/>
    </row>
    <row r="778" ht="11.25" hidden="1">
      <c r="D778" s="13"/>
    </row>
    <row r="779" ht="11.25" hidden="1">
      <c r="D779" s="13"/>
    </row>
    <row r="780" ht="11.25" hidden="1">
      <c r="D780" s="13"/>
    </row>
    <row r="781" ht="11.25" hidden="1">
      <c r="D781" s="13"/>
    </row>
    <row r="782" ht="11.25" hidden="1">
      <c r="D782" s="13"/>
    </row>
    <row r="783" ht="11.25" hidden="1">
      <c r="D783" s="13"/>
    </row>
    <row r="784" ht="11.25" hidden="1">
      <c r="D784" s="13"/>
    </row>
    <row r="785" ht="11.25" hidden="1">
      <c r="D785" s="13"/>
    </row>
    <row r="786" ht="11.25" hidden="1">
      <c r="D786" s="13"/>
    </row>
    <row r="787" ht="11.25" hidden="1">
      <c r="D787" s="13"/>
    </row>
    <row r="788" ht="11.25" hidden="1">
      <c r="D788" s="13"/>
    </row>
    <row r="789" ht="11.25" hidden="1">
      <c r="D789" s="13"/>
    </row>
    <row r="790" ht="11.25" hidden="1">
      <c r="D790" s="13"/>
    </row>
    <row r="791" ht="11.25" hidden="1">
      <c r="D791" s="13"/>
    </row>
    <row r="792" ht="11.25" hidden="1">
      <c r="D792" s="13"/>
    </row>
    <row r="793" ht="11.25" hidden="1">
      <c r="D793" s="13"/>
    </row>
    <row r="794" ht="11.25" hidden="1">
      <c r="D794" s="13"/>
    </row>
    <row r="795" ht="11.25" hidden="1">
      <c r="D795" s="13"/>
    </row>
    <row r="796" ht="11.25" hidden="1">
      <c r="D796" s="13"/>
    </row>
    <row r="797" ht="11.25" hidden="1">
      <c r="D797" s="13"/>
    </row>
    <row r="798" ht="11.25" hidden="1">
      <c r="D798" s="13"/>
    </row>
    <row r="799" ht="11.25" hidden="1">
      <c r="D799" s="13"/>
    </row>
    <row r="800" ht="11.25" hidden="1">
      <c r="D800" s="13"/>
    </row>
    <row r="801" ht="11.25" hidden="1">
      <c r="D801" s="13"/>
    </row>
    <row r="802" ht="11.25" hidden="1">
      <c r="D802" s="13"/>
    </row>
    <row r="803" ht="11.25" hidden="1">
      <c r="D803" s="13"/>
    </row>
    <row r="804" ht="11.25" hidden="1">
      <c r="D804" s="13"/>
    </row>
    <row r="805" ht="11.25" hidden="1">
      <c r="D805" s="13"/>
    </row>
    <row r="806" ht="11.25" hidden="1">
      <c r="D806" s="13"/>
    </row>
    <row r="807" ht="11.25" hidden="1">
      <c r="D807" s="13"/>
    </row>
    <row r="808" ht="11.25" hidden="1">
      <c r="D808" s="13"/>
    </row>
    <row r="809" ht="11.25" hidden="1">
      <c r="D809" s="13"/>
    </row>
    <row r="810" ht="11.25" hidden="1">
      <c r="D810" s="13"/>
    </row>
    <row r="811" ht="11.25" hidden="1">
      <c r="D811" s="13"/>
    </row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>
      <c r="BM825" s="13"/>
    </row>
    <row r="826" ht="11.25" hidden="1">
      <c r="BM826" s="13"/>
    </row>
    <row r="827" ht="11.25" hidden="1">
      <c r="BM827" s="13"/>
    </row>
    <row r="828" ht="11.25" hidden="1">
      <c r="BM828" s="13"/>
    </row>
    <row r="829" ht="11.25" hidden="1">
      <c r="BM829" s="13"/>
    </row>
    <row r="830" ht="11.25" hidden="1">
      <c r="BM830" s="13"/>
    </row>
    <row r="831" ht="11.25" hidden="1">
      <c r="BM831" s="13"/>
    </row>
    <row r="832" ht="11.25" hidden="1">
      <c r="BM832" s="13"/>
    </row>
    <row r="833" ht="11.25" hidden="1">
      <c r="BM833" s="13"/>
    </row>
    <row r="834" ht="11.25" hidden="1">
      <c r="BM834" s="13"/>
    </row>
    <row r="835" ht="11.25" hidden="1">
      <c r="BM835" s="13"/>
    </row>
    <row r="836" ht="11.25" hidden="1">
      <c r="BM836" s="13"/>
    </row>
    <row r="837" ht="11.25" hidden="1">
      <c r="BM837" s="13"/>
    </row>
    <row r="838" ht="11.25" hidden="1">
      <c r="BM838" s="13"/>
    </row>
    <row r="839" ht="11.25" hidden="1">
      <c r="BM839" s="13"/>
    </row>
    <row r="840" ht="11.25" hidden="1">
      <c r="BM840" s="13"/>
    </row>
    <row r="841" ht="11.25" hidden="1">
      <c r="BM841" s="13"/>
    </row>
    <row r="842" ht="11.25" hidden="1">
      <c r="BM842" s="13"/>
    </row>
    <row r="843" ht="11.25" hidden="1">
      <c r="BM843" s="13"/>
    </row>
    <row r="844" ht="11.25" hidden="1">
      <c r="BM844" s="13"/>
    </row>
    <row r="845" ht="11.25" hidden="1">
      <c r="BM845" s="13"/>
    </row>
    <row r="846" ht="11.25" hidden="1">
      <c r="BM846" s="13"/>
    </row>
    <row r="847" ht="11.25" hidden="1">
      <c r="BM847" s="13"/>
    </row>
    <row r="848" ht="11.25" hidden="1">
      <c r="BM848" s="13"/>
    </row>
    <row r="849" ht="11.25" hidden="1">
      <c r="BM849" s="13"/>
    </row>
    <row r="850" ht="11.25" hidden="1">
      <c r="BM850" s="13"/>
    </row>
    <row r="851" ht="11.25" hidden="1">
      <c r="BM851" s="13"/>
    </row>
    <row r="852" ht="11.25" hidden="1">
      <c r="BM852" s="13"/>
    </row>
    <row r="853" ht="11.25" hidden="1">
      <c r="BM853" s="13"/>
    </row>
    <row r="854" ht="11.25" hidden="1">
      <c r="BM854" s="13"/>
    </row>
    <row r="855" ht="11.25" hidden="1">
      <c r="BM855" s="13"/>
    </row>
    <row r="856" ht="11.25" hidden="1">
      <c r="BM856" s="13"/>
    </row>
    <row r="857" ht="11.25" hidden="1">
      <c r="BM857" s="13"/>
    </row>
    <row r="858" ht="11.25" hidden="1">
      <c r="BM858" s="13"/>
    </row>
    <row r="859" ht="11.25" hidden="1">
      <c r="BM859" s="13"/>
    </row>
    <row r="860" ht="11.25" hidden="1">
      <c r="BM860" s="13"/>
    </row>
    <row r="861" ht="11.25" hidden="1">
      <c r="BM861" s="13"/>
    </row>
    <row r="862" ht="11.25" hidden="1">
      <c r="BM862" s="13"/>
    </row>
    <row r="863" ht="11.25" hidden="1">
      <c r="BM863" s="13"/>
    </row>
    <row r="864" ht="11.25" hidden="1">
      <c r="BM864" s="13"/>
    </row>
    <row r="865" ht="11.25" hidden="1">
      <c r="BM865" s="13"/>
    </row>
    <row r="866" ht="11.25" hidden="1">
      <c r="BM866" s="13"/>
    </row>
    <row r="867" ht="11.25" hidden="1">
      <c r="BM867" s="13"/>
    </row>
    <row r="868" ht="11.25" hidden="1">
      <c r="BM868" s="13"/>
    </row>
    <row r="869" ht="11.25" hidden="1">
      <c r="BM869" s="13"/>
    </row>
    <row r="870" ht="11.25" hidden="1">
      <c r="BM870" s="13"/>
    </row>
    <row r="871" ht="11.25" hidden="1">
      <c r="BM871" s="13"/>
    </row>
    <row r="872" ht="11.25" hidden="1">
      <c r="BM872" s="13"/>
    </row>
    <row r="873" ht="11.25" hidden="1">
      <c r="BM873" s="13"/>
    </row>
    <row r="874" ht="11.25" hidden="1">
      <c r="BM874" s="13"/>
    </row>
    <row r="875" ht="11.25" hidden="1">
      <c r="BM875" s="13"/>
    </row>
    <row r="876" ht="11.25" hidden="1">
      <c r="BM876" s="13"/>
    </row>
    <row r="877" ht="11.25" hidden="1">
      <c r="BM877" s="13"/>
    </row>
    <row r="878" ht="11.25" hidden="1">
      <c r="BM878" s="13"/>
    </row>
    <row r="879" ht="11.25" hidden="1">
      <c r="BM879" s="13"/>
    </row>
    <row r="880" ht="11.25" hidden="1">
      <c r="BM880" s="13"/>
    </row>
    <row r="881" ht="11.25" hidden="1">
      <c r="BM881" s="13"/>
    </row>
    <row r="882" ht="11.25" hidden="1">
      <c r="BM882" s="13"/>
    </row>
    <row r="883" ht="11.25" hidden="1">
      <c r="BM883" s="13"/>
    </row>
    <row r="884" ht="11.25" hidden="1">
      <c r="BM884" s="13"/>
    </row>
    <row r="885" ht="11.25" hidden="1">
      <c r="BM885" s="13"/>
    </row>
    <row r="886" ht="11.25" hidden="1">
      <c r="BM886" s="13"/>
    </row>
    <row r="887" ht="11.25" hidden="1">
      <c r="BM887" s="13"/>
    </row>
    <row r="888" ht="11.25" hidden="1">
      <c r="BM888" s="13"/>
    </row>
    <row r="889" ht="11.25" hidden="1">
      <c r="BM889" s="13"/>
    </row>
    <row r="890" ht="11.25" hidden="1">
      <c r="BM890" s="13"/>
    </row>
    <row r="891" ht="11.25" hidden="1">
      <c r="BM891" s="13"/>
    </row>
    <row r="892" ht="11.25" hidden="1">
      <c r="BM892" s="13"/>
    </row>
    <row r="893" ht="11.25" hidden="1">
      <c r="BM893" s="13"/>
    </row>
    <row r="894" ht="11.25" hidden="1">
      <c r="BM894" s="13"/>
    </row>
    <row r="895" ht="11.25" hidden="1">
      <c r="BM895" s="13"/>
    </row>
    <row r="896" ht="11.25" hidden="1">
      <c r="BM896" s="13"/>
    </row>
    <row r="897" ht="11.25" hidden="1">
      <c r="BM897" s="13"/>
    </row>
    <row r="898" ht="11.25" hidden="1">
      <c r="BM898" s="13"/>
    </row>
    <row r="899" ht="11.25" hidden="1">
      <c r="BM899" s="13"/>
    </row>
    <row r="900" ht="11.25" hidden="1">
      <c r="BM900" s="13"/>
    </row>
    <row r="901" ht="11.25" hidden="1">
      <c r="BM901" s="13"/>
    </row>
    <row r="902" ht="11.25" hidden="1">
      <c r="BM902" s="13"/>
    </row>
    <row r="903" ht="11.25" hidden="1">
      <c r="BM903" s="13"/>
    </row>
    <row r="904" ht="11.25" hidden="1">
      <c r="BM904" s="13"/>
    </row>
    <row r="905" ht="11.25" hidden="1">
      <c r="BM905" s="13"/>
    </row>
    <row r="906" ht="11.25" hidden="1">
      <c r="BM906" s="13"/>
    </row>
    <row r="907" ht="11.25" hidden="1">
      <c r="BM907" s="13"/>
    </row>
    <row r="908" ht="11.25" hidden="1">
      <c r="BM908" s="13"/>
    </row>
    <row r="909" ht="11.25" hidden="1">
      <c r="BM909" s="13"/>
    </row>
    <row r="910" ht="11.25" hidden="1">
      <c r="BM910" s="13"/>
    </row>
    <row r="911" ht="11.25" hidden="1">
      <c r="BM911" s="13"/>
    </row>
    <row r="912" ht="11.25" hidden="1">
      <c r="BM912" s="13"/>
    </row>
    <row r="913" ht="11.25" hidden="1">
      <c r="BM913" s="13"/>
    </row>
    <row r="914" ht="11.25" hidden="1">
      <c r="BM914" s="13"/>
    </row>
    <row r="915" ht="11.25" hidden="1">
      <c r="BM915" s="13"/>
    </row>
    <row r="916" ht="11.25" hidden="1">
      <c r="BM916" s="13"/>
    </row>
    <row r="917" ht="11.25" hidden="1">
      <c r="BM917" s="13"/>
    </row>
    <row r="918" ht="11.25" hidden="1">
      <c r="BM918" s="13"/>
    </row>
    <row r="919" ht="11.25" hidden="1">
      <c r="BM919" s="13"/>
    </row>
    <row r="920" ht="11.25" hidden="1">
      <c r="BM920" s="13"/>
    </row>
    <row r="921" ht="11.25" hidden="1">
      <c r="BM921" s="13"/>
    </row>
    <row r="922" ht="11.25" hidden="1">
      <c r="BM922" s="13"/>
    </row>
    <row r="923" ht="11.25" hidden="1">
      <c r="BM923" s="13"/>
    </row>
    <row r="924" ht="11.25" hidden="1">
      <c r="BM924" s="13"/>
    </row>
    <row r="925" ht="11.25" hidden="1">
      <c r="BM925" s="13"/>
    </row>
    <row r="926" ht="11.25" hidden="1">
      <c r="BM926" s="13"/>
    </row>
    <row r="927" ht="11.25" hidden="1">
      <c r="BM927" s="13"/>
    </row>
    <row r="928" ht="11.25" hidden="1">
      <c r="BM928" s="13"/>
    </row>
    <row r="929" ht="11.25" hidden="1">
      <c r="BM929" s="13"/>
    </row>
    <row r="930" ht="11.25" hidden="1">
      <c r="BM930" s="13"/>
    </row>
    <row r="931" ht="11.25" hidden="1">
      <c r="BM931" s="13"/>
    </row>
    <row r="932" ht="11.25" hidden="1">
      <c r="BM932" s="13"/>
    </row>
    <row r="933" ht="11.25" hidden="1">
      <c r="BM933" s="13"/>
    </row>
    <row r="934" ht="11.25" hidden="1">
      <c r="BM934" s="13"/>
    </row>
    <row r="935" ht="11.25" hidden="1">
      <c r="BM935" s="13"/>
    </row>
    <row r="936" ht="11.25" hidden="1">
      <c r="BM936" s="13"/>
    </row>
    <row r="937" ht="11.25" hidden="1">
      <c r="BM937" s="13"/>
    </row>
    <row r="938" ht="11.25" hidden="1">
      <c r="BM938" s="13"/>
    </row>
    <row r="939" ht="11.25" hidden="1">
      <c r="BM939" s="13"/>
    </row>
    <row r="940" ht="11.25" hidden="1">
      <c r="BM940" s="13"/>
    </row>
    <row r="941" ht="11.25" hidden="1">
      <c r="BM941" s="13"/>
    </row>
    <row r="942" ht="11.25" hidden="1">
      <c r="BM942" s="13"/>
    </row>
    <row r="943" ht="11.25" hidden="1">
      <c r="BM943" s="13"/>
    </row>
    <row r="944" ht="11.25" hidden="1">
      <c r="BM944" s="13"/>
    </row>
    <row r="945" ht="11.25" hidden="1">
      <c r="BM945" s="13"/>
    </row>
    <row r="946" ht="11.25" hidden="1">
      <c r="BM946" s="13"/>
    </row>
    <row r="947" ht="11.25" hidden="1">
      <c r="BM947" s="13"/>
    </row>
    <row r="948" ht="11.25" hidden="1">
      <c r="BM948" s="13"/>
    </row>
    <row r="949" ht="11.25" hidden="1">
      <c r="BM949" s="13"/>
    </row>
    <row r="950" ht="11.25" hidden="1">
      <c r="BM950" s="13"/>
    </row>
    <row r="951" ht="11.25" hidden="1">
      <c r="BM951" s="13"/>
    </row>
    <row r="952" ht="11.25" hidden="1">
      <c r="BM952" s="13"/>
    </row>
    <row r="953" ht="11.25" hidden="1">
      <c r="BM953" s="13"/>
    </row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  <row r="1205" ht="11.25" hidden="1"/>
    <row r="1206" ht="11.25" hidden="1"/>
    <row r="1207" ht="11.25" hidden="1"/>
    <row r="1208" ht="11.25" hidden="1"/>
    <row r="1209" ht="11.25" hidden="1"/>
    <row r="1210" ht="11.25" hidden="1"/>
    <row r="1211" ht="11.25" hidden="1"/>
    <row r="1212" ht="11.25" hidden="1"/>
    <row r="1213" ht="11.25" hidden="1"/>
    <row r="1214" ht="11.25" hidden="1"/>
    <row r="1215" ht="11.25" hidden="1"/>
    <row r="1216" ht="11.25" hidden="1"/>
    <row r="1217" ht="11.25" hidden="1"/>
    <row r="1218" ht="11.25" hidden="1"/>
    <row r="1219" ht="11.25" hidden="1"/>
    <row r="1220" ht="11.25" hidden="1"/>
    <row r="1221" ht="11.25" hidden="1"/>
    <row r="1222" ht="11.25" hidden="1"/>
    <row r="1223" ht="11.25" hidden="1"/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  <row r="1363" ht="11.25" hidden="1"/>
    <row r="1364" ht="11.25" hidden="1"/>
    <row r="1365" ht="11.25" hidden="1"/>
    <row r="1366" ht="11.25" hidden="1"/>
    <row r="1367" ht="11.25" hidden="1"/>
    <row r="1368" ht="11.25" hidden="1"/>
    <row r="1369" ht="11.25" hidden="1"/>
    <row r="1370" ht="11.25" hidden="1"/>
    <row r="1371" ht="11.25" hidden="1"/>
    <row r="1372" ht="11.25" hidden="1"/>
    <row r="1373" ht="11.25" hidden="1"/>
    <row r="1374" ht="11.25" hidden="1"/>
    <row r="1375" ht="11.25" hidden="1"/>
    <row r="1376" ht="11.25" hidden="1"/>
    <row r="1377" ht="11.25" hidden="1"/>
    <row r="1378" ht="11.25" hidden="1"/>
    <row r="1379" ht="11.25" hidden="1"/>
    <row r="1380" ht="11.25" hidden="1"/>
    <row r="1381" ht="11.25" hidden="1"/>
    <row r="1382" ht="11.25" hidden="1"/>
    <row r="1383" ht="11.25" hidden="1"/>
    <row r="1384" ht="11.25" hidden="1"/>
    <row r="1385" ht="11.25" hidden="1"/>
    <row r="1386" ht="11.25" hidden="1"/>
    <row r="1387" ht="11.25" hidden="1"/>
    <row r="1388" ht="11.25" hidden="1"/>
    <row r="1389" ht="11.25" hidden="1"/>
    <row r="1390" ht="11.25" hidden="1"/>
    <row r="1391" ht="11.25" hidden="1"/>
    <row r="1392" ht="11.25" hidden="1"/>
    <row r="1393" ht="11.25" hidden="1"/>
    <row r="1394" ht="11.25" hidden="1"/>
    <row r="1395" ht="11.25" hidden="1"/>
    <row r="1396" ht="11.25" hidden="1"/>
    <row r="1397" ht="11.25" hidden="1"/>
    <row r="1398" ht="11.25" hidden="1"/>
    <row r="1399" ht="11.25" hidden="1"/>
    <row r="1400" ht="11.25" hidden="1"/>
    <row r="1401" ht="11.25" hidden="1"/>
    <row r="1402" ht="11.25" hidden="1"/>
    <row r="1403" ht="11.25" hidden="1"/>
    <row r="1404" ht="11.25" hidden="1"/>
    <row r="1405" ht="11.25" hidden="1"/>
    <row r="1406" ht="11.25" hidden="1"/>
    <row r="1407" ht="11.25" hidden="1"/>
    <row r="1408" ht="11.25" hidden="1"/>
    <row r="1409" ht="11.25" hidden="1"/>
    <row r="1410" ht="11.25" hidden="1"/>
    <row r="1411" ht="11.25" hidden="1"/>
    <row r="1412" ht="11.25" hidden="1"/>
    <row r="1413" ht="11.25" hidden="1"/>
    <row r="1414" ht="11.25" hidden="1"/>
    <row r="1415" ht="11.25" hidden="1"/>
    <row r="1416" ht="11.25" hidden="1"/>
    <row r="1417" ht="11.25" hidden="1"/>
    <row r="1418" ht="11.25" hidden="1"/>
    <row r="1419" ht="11.25" hidden="1"/>
    <row r="1420" ht="11.25" hidden="1"/>
    <row r="1421" ht="11.25" hidden="1"/>
    <row r="1422" ht="11.25" hidden="1"/>
    <row r="1423" ht="11.25" hidden="1"/>
    <row r="1424" ht="11.25" hidden="1"/>
    <row r="1425" ht="11.25" hidden="1"/>
    <row r="1426" ht="11.25" hidden="1"/>
    <row r="1427" ht="11.25" hidden="1"/>
    <row r="1428" ht="11.25" hidden="1"/>
    <row r="1429" ht="11.25" hidden="1"/>
    <row r="1430" ht="11.25" hidden="1"/>
    <row r="1431" ht="11.25" hidden="1"/>
    <row r="1432" ht="11.25" hidden="1"/>
    <row r="1433" ht="11.25" hidden="1"/>
    <row r="1434" ht="11.25" hidden="1"/>
    <row r="1435" ht="11.25" hidden="1"/>
    <row r="1436" ht="11.25" hidden="1"/>
    <row r="1437" ht="11.25" hidden="1"/>
    <row r="1438" ht="11.25" hidden="1"/>
    <row r="1439" ht="11.25" hidden="1"/>
    <row r="1440" ht="11.25" hidden="1"/>
    <row r="1441" ht="11.25" hidden="1"/>
    <row r="1442" ht="11.25" hidden="1"/>
    <row r="1443" ht="11.25" hidden="1"/>
    <row r="1444" ht="11.25" hidden="1"/>
    <row r="1445" ht="11.25" hidden="1"/>
    <row r="1446" ht="11.25" hidden="1"/>
    <row r="1447" ht="11.25" hidden="1"/>
    <row r="1448" ht="11.25" hidden="1"/>
    <row r="1449" ht="11.25" hidden="1"/>
    <row r="1450" ht="11.25" hidden="1"/>
    <row r="1451" ht="11.25" hidden="1"/>
    <row r="1452" ht="11.25" hidden="1"/>
    <row r="1453" ht="11.25" hidden="1"/>
    <row r="1454" ht="11.25" hidden="1"/>
    <row r="1455" ht="11.25" hidden="1"/>
    <row r="1456" ht="11.25" hidden="1"/>
    <row r="1457" ht="11.25" hidden="1"/>
    <row r="1458" ht="11.25" hidden="1"/>
    <row r="1459" ht="11.25" hidden="1"/>
    <row r="1460" ht="11.25" hidden="1"/>
    <row r="1461" ht="11.25" hidden="1"/>
    <row r="1462" ht="11.25" hidden="1"/>
    <row r="1463" ht="11.25" hidden="1"/>
    <row r="1464" ht="11.25" hidden="1"/>
    <row r="1465" ht="11.25" hidden="1"/>
    <row r="1466" ht="11.25" hidden="1"/>
    <row r="1467" ht="11.25" hidden="1"/>
    <row r="1468" ht="11.25" hidden="1"/>
    <row r="1469" ht="11.25" hidden="1"/>
    <row r="1470" ht="11.25" hidden="1"/>
    <row r="1471" ht="11.25" hidden="1"/>
    <row r="1472" ht="11.25" hidden="1"/>
    <row r="1473" ht="11.25" hidden="1"/>
    <row r="1474" ht="11.25" hidden="1"/>
    <row r="1475" ht="11.25" hidden="1"/>
    <row r="1476" ht="11.25" hidden="1"/>
    <row r="1477" ht="11.25" hidden="1"/>
    <row r="1478" ht="11.25" hidden="1"/>
    <row r="1479" ht="11.25" hidden="1"/>
    <row r="1480" ht="11.25" hidden="1"/>
    <row r="1481" ht="11.25" hidden="1"/>
    <row r="1482" ht="11.25" hidden="1"/>
    <row r="1483" ht="11.25" hidden="1"/>
    <row r="1484" ht="11.25" hidden="1"/>
    <row r="1485" ht="11.25" hidden="1"/>
    <row r="1486" ht="11.25" hidden="1"/>
    <row r="1487" ht="11.25" hidden="1"/>
    <row r="1488" ht="11.25" hidden="1"/>
    <row r="1489" ht="11.25" hidden="1"/>
    <row r="1490" ht="11.25" hidden="1"/>
    <row r="1491" ht="11.25" hidden="1"/>
    <row r="1492" ht="11.25" hidden="1"/>
    <row r="1493" ht="11.25" hidden="1"/>
    <row r="1494" ht="11.25" hidden="1"/>
    <row r="1495" ht="11.25" hidden="1"/>
    <row r="1496" ht="11.25" hidden="1"/>
    <row r="1497" ht="11.25" hidden="1"/>
    <row r="1498" ht="11.25" hidden="1"/>
    <row r="1499" ht="11.25" hidden="1"/>
    <row r="1500" ht="11.25" hidden="1"/>
    <row r="1501" ht="11.25" hidden="1"/>
    <row r="1502" ht="11.25" hidden="1"/>
    <row r="1503" ht="11.25" hidden="1"/>
    <row r="1504" ht="11.25" hidden="1"/>
    <row r="1505" ht="11.25" hidden="1"/>
    <row r="1506" ht="11.25" hidden="1"/>
    <row r="1507" ht="11.25" hidden="1"/>
    <row r="1508" ht="11.25" hidden="1"/>
    <row r="1509" ht="11.25" hidden="1"/>
    <row r="1510" ht="11.25" hidden="1"/>
    <row r="1511" ht="11.25" hidden="1"/>
    <row r="1512" ht="11.25" hidden="1"/>
    <row r="1513" ht="11.25" hidden="1"/>
    <row r="1514" ht="11.25" hidden="1"/>
    <row r="1515" ht="11.25" hidden="1"/>
    <row r="1516" ht="11.25" hidden="1"/>
    <row r="1517" ht="11.25" hidden="1"/>
    <row r="1518" ht="11.25" hidden="1"/>
    <row r="1519" ht="11.25" hidden="1"/>
    <row r="1520" ht="11.25" hidden="1"/>
    <row r="1521" ht="11.25" hidden="1"/>
    <row r="1522" ht="11.25" hidden="1"/>
    <row r="1523" ht="11.25" hidden="1"/>
    <row r="1524" ht="11.25" hidden="1"/>
    <row r="1525" ht="11.25" hidden="1"/>
    <row r="1526" ht="11.25" hidden="1"/>
    <row r="1527" ht="11.25" hidden="1"/>
    <row r="1528" ht="11.25" hidden="1"/>
    <row r="1529" ht="11.25" hidden="1"/>
    <row r="1530" ht="11.25" hidden="1"/>
    <row r="1531" ht="11.25" hidden="1"/>
    <row r="1532" ht="11.25" hidden="1"/>
    <row r="1533" ht="11.25" hidden="1"/>
    <row r="1534" ht="11.25" hidden="1"/>
    <row r="1535" ht="11.25" hidden="1"/>
    <row r="1536" ht="11.25" hidden="1"/>
    <row r="1537" ht="11.25" hidden="1"/>
    <row r="1538" ht="11.25" hidden="1"/>
    <row r="1539" ht="11.25" hidden="1"/>
    <row r="1540" ht="11.25" hidden="1"/>
    <row r="1541" ht="11.25" hidden="1"/>
    <row r="1542" ht="11.25" hidden="1"/>
    <row r="1543" ht="11.25" hidden="1"/>
    <row r="1544" ht="11.25" hidden="1"/>
    <row r="1545" ht="11.25" hidden="1"/>
    <row r="1546" ht="11.25" hidden="1"/>
    <row r="1547" ht="11.25" hidden="1"/>
    <row r="1548" ht="11.25" hidden="1"/>
    <row r="1549" ht="11.25" hidden="1"/>
    <row r="1550" ht="11.25" hidden="1"/>
    <row r="1551" ht="11.25" hidden="1"/>
    <row r="1552" ht="11.25" hidden="1"/>
    <row r="1553" ht="11.25" hidden="1"/>
    <row r="1554" ht="11.25" hidden="1"/>
    <row r="1555" ht="11.25" hidden="1"/>
    <row r="1556" ht="11.25" hidden="1"/>
    <row r="1557" ht="11.25" hidden="1"/>
    <row r="1558" ht="11.25" hidden="1"/>
    <row r="1559" ht="11.25" hidden="1"/>
    <row r="1560" ht="11.25" hidden="1"/>
    <row r="1561" ht="11.25" hidden="1"/>
    <row r="1562" ht="11.25" hidden="1"/>
    <row r="1563" ht="11.25" hidden="1"/>
    <row r="1564" ht="11.25" hidden="1"/>
    <row r="1565" ht="11.25" hidden="1"/>
    <row r="1566" ht="11.25" hidden="1"/>
    <row r="1567" ht="11.25" hidden="1"/>
    <row r="1568" ht="11.25" hidden="1"/>
    <row r="1569" ht="11.25" hidden="1"/>
    <row r="1570" ht="11.25" hidden="1"/>
    <row r="1571" ht="11.25" hidden="1"/>
    <row r="1572" ht="11.25" hidden="1"/>
    <row r="1573" ht="11.25" hidden="1"/>
    <row r="1574" ht="11.25" hidden="1"/>
    <row r="1575" ht="11.25" hidden="1"/>
    <row r="1576" ht="11.25" hidden="1"/>
    <row r="1577" ht="11.25" hidden="1"/>
    <row r="1578" ht="11.25" hidden="1"/>
    <row r="1579" ht="11.25" hidden="1"/>
    <row r="1580" ht="11.25" hidden="1"/>
    <row r="1581" ht="11.25" hidden="1"/>
    <row r="1582" ht="11.25" hidden="1"/>
    <row r="1583" ht="11.25" hidden="1"/>
    <row r="1584" ht="11.25" hidden="1"/>
    <row r="1585" ht="11.25" hidden="1"/>
    <row r="1586" ht="11.25" hidden="1"/>
    <row r="1587" ht="11.25" hidden="1"/>
    <row r="1588" ht="11.25" hidden="1"/>
    <row r="1589" ht="11.25" hidden="1"/>
    <row r="1590" ht="11.25" hidden="1"/>
    <row r="1591" ht="11.25" hidden="1"/>
    <row r="1592" ht="11.25" hidden="1"/>
    <row r="1593" ht="11.25" hidden="1"/>
    <row r="1594" ht="11.25" hidden="1"/>
    <row r="1595" ht="11.25" hidden="1"/>
    <row r="1596" ht="11.25" hidden="1"/>
    <row r="1597" ht="11.25" hidden="1"/>
    <row r="1598" ht="11.25" hidden="1"/>
    <row r="1599" ht="11.25" hidden="1"/>
    <row r="1600" ht="11.25" hidden="1"/>
    <row r="1601" ht="11.25" hidden="1"/>
    <row r="1602" ht="11.25" hidden="1"/>
    <row r="1603" ht="11.25" hidden="1"/>
    <row r="1604" ht="11.25" hidden="1"/>
    <row r="1605" ht="11.25" hidden="1"/>
    <row r="1606" ht="11.25" hidden="1"/>
    <row r="1607" ht="11.25" hidden="1"/>
    <row r="1608" ht="11.25" hidden="1"/>
    <row r="1609" ht="11.25" hidden="1"/>
    <row r="1610" ht="11.25" hidden="1"/>
    <row r="1611" ht="11.25" hidden="1"/>
    <row r="1612" ht="11.25" hidden="1"/>
    <row r="1613" ht="11.25" hidden="1"/>
    <row r="1614" ht="11.25" hidden="1"/>
    <row r="1615" ht="11.25" hidden="1"/>
    <row r="1616" ht="11.25" hidden="1"/>
    <row r="1617" ht="11.25" hidden="1"/>
    <row r="1618" ht="11.25" hidden="1"/>
    <row r="1619" ht="11.25" hidden="1"/>
    <row r="1620" ht="11.25" hidden="1"/>
    <row r="1621" ht="11.25" hidden="1"/>
    <row r="1622" ht="11.25" hidden="1"/>
    <row r="1623" ht="11.25" hidden="1"/>
    <row r="1624" ht="11.25" hidden="1"/>
    <row r="1625" ht="11.25" hidden="1"/>
    <row r="1626" ht="11.25" hidden="1"/>
    <row r="1627" ht="11.25" hidden="1"/>
    <row r="1628" ht="11.25" hidden="1"/>
    <row r="1629" ht="11.25" hidden="1"/>
    <row r="1630" ht="11.25" hidden="1"/>
    <row r="1631" ht="11.25" hidden="1"/>
    <row r="1632" ht="11.25" hidden="1"/>
    <row r="1633" ht="11.25" hidden="1"/>
    <row r="1634" ht="11.25" hidden="1"/>
    <row r="1635" ht="11.25" hidden="1"/>
    <row r="1636" ht="11.25" hidden="1"/>
    <row r="1637" ht="11.25" hidden="1"/>
    <row r="1638" ht="11.25" hidden="1"/>
    <row r="1639" ht="11.25" hidden="1"/>
    <row r="1640" ht="11.25" hidden="1"/>
    <row r="1641" ht="11.25" hidden="1"/>
    <row r="1642" ht="11.25" hidden="1"/>
    <row r="1643" ht="11.25" hidden="1"/>
    <row r="1644" ht="11.25" hidden="1"/>
    <row r="1645" ht="11.25" hidden="1"/>
    <row r="1646" ht="11.25" hidden="1"/>
    <row r="1647" ht="11.25" hidden="1"/>
    <row r="1648" ht="11.25" hidden="1"/>
    <row r="1649" ht="11.25" hidden="1"/>
    <row r="1650" ht="11.25" hidden="1"/>
    <row r="1651" ht="11.25" hidden="1"/>
    <row r="1652" ht="11.25" hidden="1"/>
    <row r="1653" ht="11.25" hidden="1"/>
    <row r="1654" ht="11.25" hidden="1"/>
    <row r="1655" ht="11.25" hidden="1"/>
    <row r="1656" ht="11.25" hidden="1"/>
    <row r="1657" ht="11.25" hidden="1"/>
    <row r="1658" ht="11.25" hidden="1"/>
    <row r="1659" ht="11.25" hidden="1"/>
    <row r="1660" ht="11.25" hidden="1"/>
    <row r="1661" ht="11.25" hidden="1"/>
    <row r="1662" ht="11.25" hidden="1"/>
    <row r="1663" ht="11.25" hidden="1"/>
    <row r="1664" ht="11.25" hidden="1"/>
    <row r="1665" ht="11.25" hidden="1"/>
    <row r="1666" ht="11.25" hidden="1"/>
    <row r="1667" ht="11.25" hidden="1"/>
    <row r="1668" ht="11.25" hidden="1"/>
    <row r="1669" ht="11.25" hidden="1"/>
    <row r="1670" ht="11.25" hidden="1"/>
    <row r="1671" ht="11.25" hidden="1"/>
    <row r="1672" ht="11.25" hidden="1"/>
    <row r="1673" ht="11.25" hidden="1"/>
    <row r="1674" ht="11.25" hidden="1"/>
    <row r="1675" ht="11.25" hidden="1"/>
    <row r="1676" ht="11.25" hidden="1"/>
    <row r="1677" ht="11.25" hidden="1"/>
    <row r="1678" ht="11.25" hidden="1"/>
    <row r="1679" ht="11.25" hidden="1"/>
    <row r="1680" ht="11.25" hidden="1"/>
    <row r="1681" ht="11.25" hidden="1"/>
    <row r="1682" ht="11.25" hidden="1"/>
    <row r="1683" ht="11.25" hidden="1"/>
    <row r="1684" ht="11.25" hidden="1"/>
    <row r="1685" ht="11.25" hidden="1"/>
    <row r="1686" ht="11.25" hidden="1"/>
    <row r="1687" ht="11.25" hidden="1"/>
    <row r="1688" ht="11.25" hidden="1"/>
    <row r="1689" ht="11.25" hidden="1"/>
    <row r="1690" ht="11.25" hidden="1"/>
    <row r="1691" ht="11.25" hidden="1"/>
    <row r="1692" ht="11.25" hidden="1"/>
    <row r="1693" ht="11.25" hidden="1"/>
    <row r="1694" ht="11.25" hidden="1"/>
    <row r="1695" ht="11.25" hidden="1"/>
    <row r="1696" ht="11.25" hidden="1"/>
    <row r="1697" ht="11.25" hidden="1"/>
    <row r="1698" ht="11.25" hidden="1"/>
    <row r="1699" ht="11.25" hidden="1"/>
    <row r="1700" ht="11.25" hidden="1"/>
    <row r="1701" ht="11.25" hidden="1"/>
    <row r="1702" ht="11.25" hidden="1"/>
    <row r="1703" ht="11.25" hidden="1"/>
    <row r="1704" ht="11.25" hidden="1"/>
    <row r="1705" ht="11.25" hidden="1"/>
    <row r="1706" ht="11.25" hidden="1"/>
    <row r="1707" ht="11.25" hidden="1"/>
    <row r="1708" ht="11.25" hidden="1"/>
    <row r="1709" ht="11.25" hidden="1"/>
    <row r="1710" ht="11.25" hidden="1"/>
    <row r="1711" ht="11.25" hidden="1"/>
    <row r="1712" ht="11.25" hidden="1"/>
    <row r="1713" ht="11.25" hidden="1"/>
    <row r="1714" ht="11.25" hidden="1"/>
    <row r="1715" ht="11.25" hidden="1"/>
    <row r="1716" ht="11.25" hidden="1"/>
    <row r="1717" ht="11.25" hidden="1"/>
    <row r="1718" ht="11.25" hidden="1"/>
    <row r="1719" ht="11.25" hidden="1"/>
    <row r="1720" ht="11.25" hidden="1"/>
    <row r="1721" ht="11.25" hidden="1"/>
    <row r="1722" ht="11.25" hidden="1"/>
    <row r="1723" ht="11.25" hidden="1"/>
    <row r="1724" ht="11.25" hidden="1"/>
    <row r="1725" ht="11.25" hidden="1"/>
    <row r="1726" ht="11.25" hidden="1"/>
    <row r="1727" ht="11.25" hidden="1"/>
    <row r="1728" ht="11.25" hidden="1"/>
    <row r="1729" ht="11.25" hidden="1"/>
    <row r="1730" ht="11.25" hidden="1"/>
    <row r="1731" ht="11.25" hidden="1"/>
    <row r="1732" ht="11.25" hidden="1"/>
    <row r="1733" ht="11.25" hidden="1"/>
    <row r="1734" ht="11.25" hidden="1"/>
    <row r="1735" ht="11.25" hidden="1"/>
    <row r="1736" ht="11.25" hidden="1"/>
    <row r="1737" ht="11.25" hidden="1"/>
    <row r="1738" ht="11.25" hidden="1"/>
    <row r="1739" ht="11.25" hidden="1"/>
    <row r="1740" ht="11.25" hidden="1"/>
    <row r="1741" ht="11.25" hidden="1"/>
    <row r="1742" ht="11.25" hidden="1"/>
    <row r="1743" ht="11.25" hidden="1"/>
    <row r="1744" ht="11.25" hidden="1"/>
    <row r="1745" ht="11.25" hidden="1"/>
    <row r="1746" ht="11.25" hidden="1"/>
    <row r="1747" ht="11.25" hidden="1"/>
    <row r="1748" ht="11.25" hidden="1"/>
    <row r="1749" ht="11.25" hidden="1"/>
    <row r="1750" ht="11.25" hidden="1"/>
    <row r="1751" ht="11.25" hidden="1"/>
    <row r="1752" ht="11.25" hidden="1"/>
    <row r="1753" ht="11.25" hidden="1"/>
    <row r="1754" ht="11.25" hidden="1"/>
    <row r="1755" ht="11.25" hidden="1"/>
    <row r="1756" ht="11.25" hidden="1"/>
    <row r="1757" ht="11.25" hidden="1"/>
    <row r="1758" ht="11.25" hidden="1"/>
    <row r="1759" ht="11.25" hidden="1"/>
    <row r="1760" ht="11.25" hidden="1"/>
    <row r="1761" ht="11.25" hidden="1"/>
    <row r="1762" ht="11.25" hidden="1"/>
    <row r="1763" ht="11.25" hidden="1"/>
    <row r="1764" ht="11.25" hidden="1"/>
    <row r="1765" ht="11.25" hidden="1"/>
    <row r="1766" ht="11.25" hidden="1"/>
    <row r="1767" ht="11.25" hidden="1"/>
    <row r="1768" ht="11.25" hidden="1"/>
    <row r="1769" ht="11.25" hidden="1"/>
    <row r="1770" ht="11.25" hidden="1"/>
    <row r="1771" ht="11.25" hidden="1"/>
    <row r="1772" ht="11.25" hidden="1"/>
    <row r="1773" ht="11.25" hidden="1"/>
    <row r="1774" ht="11.25" hidden="1"/>
    <row r="1775" ht="11.25" hidden="1"/>
    <row r="1776" ht="11.25" hidden="1"/>
    <row r="1777" ht="11.25" hidden="1"/>
    <row r="1778" ht="11.25" hidden="1"/>
    <row r="1779" ht="11.25" hidden="1"/>
    <row r="1780" ht="11.25" hidden="1"/>
    <row r="1781" ht="11.25" hidden="1"/>
    <row r="1782" ht="11.25" hidden="1"/>
    <row r="1783" ht="11.25" hidden="1"/>
    <row r="1784" ht="11.25" hidden="1"/>
    <row r="1785" ht="11.25" hidden="1"/>
    <row r="1786" ht="11.25" hidden="1"/>
    <row r="1787" ht="11.25" hidden="1"/>
    <row r="1788" ht="11.25" hidden="1"/>
    <row r="1789" ht="11.25" hidden="1"/>
    <row r="1790" ht="11.25" hidden="1"/>
    <row r="1791" ht="11.25" hidden="1"/>
    <row r="1792" ht="11.25" hidden="1"/>
    <row r="1793" ht="11.25" hidden="1"/>
    <row r="1794" ht="11.25" hidden="1"/>
    <row r="1795" ht="11.25" hidden="1"/>
    <row r="1796" ht="11.25" hidden="1"/>
    <row r="1797" ht="11.25" hidden="1"/>
    <row r="1798" ht="11.25" hidden="1"/>
    <row r="1799" ht="11.25" hidden="1"/>
    <row r="1800" ht="11.25" hidden="1"/>
    <row r="1801" ht="11.25" hidden="1"/>
    <row r="1802" ht="11.25" hidden="1"/>
    <row r="1803" ht="11.25" hidden="1"/>
    <row r="1804" ht="11.25" hidden="1"/>
    <row r="1805" ht="11.25" hidden="1"/>
    <row r="1806" ht="11.25" hidden="1"/>
    <row r="1807" ht="11.25" hidden="1"/>
    <row r="1808" ht="11.25" hidden="1"/>
    <row r="1809" ht="11.25" hidden="1"/>
    <row r="1810" ht="11.25" hidden="1"/>
    <row r="1811" ht="11.25" hidden="1"/>
    <row r="1812" ht="11.25" hidden="1"/>
    <row r="1813" ht="11.25" hidden="1"/>
    <row r="1814" ht="11.25" hidden="1"/>
    <row r="1815" ht="11.25" hidden="1"/>
    <row r="1816" ht="11.25" hidden="1"/>
    <row r="1817" ht="11.25" hidden="1"/>
    <row r="1818" ht="11.25" hidden="1"/>
    <row r="1819" ht="11.25" hidden="1"/>
    <row r="1820" ht="11.25" hidden="1"/>
    <row r="1821" ht="11.25" hidden="1"/>
    <row r="1822" ht="11.25" hidden="1"/>
    <row r="1823" ht="11.25" hidden="1"/>
    <row r="1824" ht="11.25" hidden="1"/>
    <row r="1825" ht="11.25" hidden="1"/>
    <row r="1826" ht="11.25" hidden="1"/>
    <row r="1827" ht="11.25" hidden="1"/>
    <row r="1828" ht="11.25" hidden="1"/>
    <row r="1829" ht="11.25" hidden="1"/>
    <row r="1830" ht="11.25" hidden="1"/>
    <row r="1831" ht="11.25" hidden="1"/>
    <row r="1832" ht="11.25" hidden="1"/>
    <row r="1833" ht="11.25" hidden="1"/>
    <row r="1834" ht="11.25" hidden="1"/>
    <row r="1835" ht="11.25" hidden="1"/>
    <row r="1836" ht="11.25" hidden="1"/>
    <row r="1837" ht="11.25" hidden="1"/>
    <row r="1838" ht="11.25" hidden="1"/>
    <row r="1839" ht="11.25" hidden="1"/>
    <row r="1840" ht="11.25" hidden="1"/>
    <row r="1841" ht="11.25" hidden="1"/>
    <row r="1842" ht="11.25" hidden="1"/>
    <row r="1843" ht="11.25" hidden="1"/>
    <row r="1844" ht="11.25" hidden="1"/>
    <row r="1845" ht="11.25" hidden="1"/>
    <row r="1846" ht="11.25" hidden="1"/>
    <row r="1847" ht="11.25" hidden="1"/>
    <row r="1848" ht="11.25" hidden="1"/>
    <row r="1849" ht="11.25" hidden="1"/>
    <row r="1850" ht="11.25" hidden="1"/>
    <row r="1851" ht="11.25" hidden="1"/>
    <row r="1852" ht="11.25" hidden="1"/>
    <row r="1853" ht="11.25" hidden="1"/>
    <row r="1854" ht="11.25" hidden="1"/>
    <row r="1855" ht="11.25" hidden="1"/>
    <row r="1856" ht="11.25" hidden="1"/>
    <row r="1857" ht="11.25" hidden="1"/>
    <row r="1858" ht="11.25" hidden="1"/>
    <row r="1859" ht="11.25" hidden="1"/>
    <row r="1860" ht="11.25" hidden="1"/>
    <row r="1861" ht="11.25" hidden="1"/>
    <row r="1862" ht="11.25" hidden="1"/>
    <row r="1863" ht="11.25" hidden="1"/>
    <row r="1864" ht="11.25" hidden="1"/>
    <row r="1865" ht="11.25" hidden="1"/>
    <row r="1866" ht="11.25" hidden="1"/>
    <row r="1867" ht="11.25" hidden="1"/>
    <row r="1868" ht="11.25" hidden="1"/>
    <row r="1869" ht="11.25" hidden="1"/>
    <row r="1870" ht="11.25" hidden="1"/>
    <row r="1871" ht="11.25" hidden="1"/>
    <row r="1872" ht="11.25" hidden="1"/>
    <row r="1873" ht="11.25" hidden="1"/>
    <row r="1874" ht="11.25" hidden="1"/>
    <row r="1875" ht="11.25" hidden="1"/>
    <row r="1876" ht="11.25" hidden="1"/>
    <row r="1877" ht="11.25" hidden="1"/>
    <row r="1878" ht="11.25" hidden="1"/>
    <row r="1879" ht="11.25" hidden="1"/>
    <row r="1880" ht="11.25" hidden="1"/>
    <row r="1881" ht="11.25" hidden="1"/>
    <row r="1882" ht="11.25" hidden="1"/>
    <row r="1883" ht="11.25" hidden="1"/>
    <row r="1884" ht="11.25" hidden="1"/>
    <row r="1885" ht="11.25" hidden="1"/>
    <row r="1886" ht="11.25" hidden="1"/>
    <row r="1887" ht="11.25" hidden="1"/>
    <row r="1888" ht="11.25" hidden="1"/>
    <row r="1889" ht="11.25" hidden="1"/>
    <row r="1890" ht="11.25" hidden="1"/>
    <row r="1891" ht="11.25" hidden="1"/>
    <row r="1892" ht="11.25" hidden="1"/>
    <row r="1893" ht="11.25" hidden="1"/>
    <row r="1894" ht="11.25" hidden="1"/>
    <row r="1895" ht="11.25" hidden="1"/>
    <row r="1896" ht="11.25" hidden="1"/>
    <row r="1897" ht="11.25" hidden="1"/>
    <row r="1898" ht="11.25" hidden="1"/>
    <row r="1899" ht="11.25" hidden="1"/>
    <row r="1900" ht="11.25" hidden="1"/>
    <row r="1901" ht="11.25" hidden="1"/>
    <row r="1902" ht="11.25" hidden="1"/>
    <row r="1903" ht="11.25" hidden="1"/>
    <row r="1904" ht="11.25" hidden="1"/>
    <row r="1905" ht="11.25" hidden="1"/>
    <row r="1906" ht="11.25" hidden="1"/>
    <row r="1907" ht="11.25" hidden="1"/>
    <row r="1908" ht="11.25" hidden="1"/>
    <row r="1909" ht="11.25" hidden="1"/>
    <row r="1910" ht="11.25" hidden="1"/>
    <row r="1911" ht="11.25" hidden="1"/>
    <row r="1912" ht="11.25" hidden="1"/>
    <row r="1913" ht="11.25" hidden="1"/>
    <row r="1914" ht="11.25" hidden="1"/>
    <row r="1915" ht="11.25" hidden="1"/>
    <row r="1916" ht="11.25" hidden="1"/>
    <row r="1917" ht="11.25" hidden="1"/>
    <row r="1918" ht="11.25" hidden="1"/>
    <row r="1919" ht="11.25" hidden="1"/>
    <row r="1920" ht="11.25" hidden="1"/>
    <row r="1921" ht="11.25" hidden="1"/>
    <row r="1922" ht="11.25" hidden="1"/>
    <row r="1923" ht="11.25" hidden="1"/>
    <row r="1924" ht="11.25" hidden="1"/>
    <row r="1925" ht="11.25" hidden="1"/>
    <row r="1926" ht="11.25" hidden="1"/>
    <row r="1927" ht="11.25" hidden="1"/>
    <row r="1928" ht="11.25" hidden="1"/>
    <row r="1929" ht="11.25" hidden="1"/>
    <row r="1930" ht="11.25" hidden="1"/>
    <row r="1931" ht="11.25" hidden="1"/>
    <row r="1932" ht="11.25" hidden="1"/>
    <row r="1933" ht="11.25" hidden="1"/>
    <row r="1934" ht="11.25" hidden="1"/>
    <row r="1935" ht="11.25" hidden="1"/>
    <row r="1936" ht="11.25" hidden="1"/>
    <row r="1937" ht="11.25" hidden="1"/>
    <row r="1938" ht="11.25" hidden="1"/>
    <row r="1939" ht="11.25" hidden="1"/>
    <row r="1940" ht="11.25" hidden="1"/>
    <row r="1941" ht="11.25" hidden="1"/>
    <row r="1942" ht="11.25" hidden="1"/>
    <row r="1943" ht="11.25" hidden="1"/>
    <row r="1944" ht="11.25" hidden="1"/>
    <row r="1945" ht="11.25" hidden="1"/>
    <row r="1946" ht="11.25" hidden="1"/>
    <row r="1947" ht="11.25" hidden="1"/>
    <row r="1948" ht="11.25" hidden="1"/>
    <row r="1949" ht="11.25" hidden="1"/>
    <row r="1950" ht="11.25" hidden="1"/>
    <row r="1951" ht="11.25" hidden="1"/>
    <row r="1952" ht="11.25" hidden="1"/>
    <row r="1953" ht="11.25" hidden="1"/>
    <row r="1954" ht="11.25" hidden="1"/>
    <row r="1955" ht="11.25" hidden="1"/>
    <row r="1956" ht="11.25" hidden="1"/>
    <row r="1957" ht="11.25" hidden="1"/>
    <row r="1958" ht="11.25" hidden="1"/>
    <row r="1959" ht="11.25" hidden="1"/>
    <row r="1960" ht="11.25" hidden="1"/>
    <row r="1961" ht="11.25" hidden="1"/>
    <row r="1962" ht="11.25" hidden="1"/>
    <row r="1963" ht="11.25" hidden="1"/>
    <row r="1964" ht="11.25" hidden="1"/>
    <row r="1965" ht="11.25" hidden="1"/>
    <row r="1966" ht="11.25" hidden="1"/>
    <row r="1967" ht="11.25" hidden="1"/>
    <row r="1968" ht="11.25" hidden="1"/>
    <row r="1969" ht="11.25" hidden="1"/>
    <row r="1970" ht="11.25" hidden="1"/>
    <row r="1971" ht="11.25" hidden="1"/>
    <row r="1972" ht="11.25" hidden="1"/>
    <row r="1973" ht="11.25" hidden="1"/>
    <row r="1974" ht="11.25" hidden="1"/>
    <row r="1975" ht="11.25" hidden="1"/>
    <row r="1976" ht="11.25" hidden="1"/>
    <row r="1977" ht="11.25" hidden="1"/>
    <row r="1978" ht="11.25" hidden="1"/>
    <row r="1979" ht="11.25" hidden="1"/>
    <row r="1980" ht="11.25" hidden="1"/>
    <row r="1981" ht="11.25" hidden="1"/>
    <row r="1982" ht="11.25" hidden="1"/>
    <row r="1983" ht="11.25" hidden="1"/>
    <row r="1984" ht="11.25" hidden="1"/>
    <row r="1985" ht="11.25" hidden="1"/>
    <row r="1986" ht="11.25" hidden="1"/>
    <row r="1987" ht="11.25" hidden="1"/>
    <row r="1988" ht="11.25" hidden="1"/>
    <row r="1989" ht="11.25" hidden="1"/>
    <row r="1990" ht="11.25" hidden="1"/>
    <row r="1991" ht="11.25" hidden="1"/>
    <row r="1992" ht="11.25" hidden="1"/>
    <row r="1993" ht="11.25" hidden="1"/>
    <row r="1994" ht="11.25" hidden="1"/>
    <row r="1995" ht="11.25" hidden="1"/>
    <row r="1996" ht="11.25" hidden="1"/>
    <row r="1997" ht="11.25" hidden="1"/>
    <row r="1998" ht="11.25" hidden="1"/>
    <row r="1999" ht="11.25" hidden="1"/>
    <row r="2000" ht="11.25" hidden="1"/>
    <row r="2001" ht="11.25" hidden="1"/>
    <row r="2002" ht="11.25" hidden="1"/>
    <row r="2003" ht="11.25" hidden="1"/>
    <row r="2004" ht="11.25" hidden="1"/>
    <row r="2005" ht="11.25" hidden="1"/>
    <row r="2006" ht="11.25" hidden="1"/>
    <row r="2007" ht="11.25" hidden="1"/>
    <row r="2008" ht="11.25" hidden="1"/>
    <row r="2009" ht="11.25" hidden="1"/>
    <row r="2010" ht="11.25" hidden="1"/>
    <row r="2011" ht="11.25" hidden="1"/>
    <row r="2012" ht="11.25" hidden="1"/>
    <row r="2013" ht="11.25" hidden="1"/>
    <row r="2014" ht="11.25" hidden="1"/>
    <row r="2015" ht="11.25" hidden="1"/>
    <row r="2016" ht="11.25" hidden="1"/>
    <row r="2017" ht="11.25" hidden="1"/>
    <row r="2018" ht="11.25" hidden="1"/>
    <row r="2019" ht="11.25" hidden="1"/>
    <row r="2020" ht="11.25" hidden="1"/>
    <row r="2021" ht="11.25" hidden="1"/>
    <row r="2022" ht="11.25" hidden="1"/>
    <row r="2023" ht="11.25" hidden="1"/>
    <row r="2024" ht="11.25" hidden="1"/>
    <row r="2025" ht="11.25" hidden="1"/>
    <row r="2026" ht="11.25" hidden="1"/>
    <row r="2027" ht="11.25" hidden="1"/>
    <row r="2028" ht="11.25" hidden="1"/>
    <row r="2029" ht="11.25" hidden="1"/>
    <row r="2030" ht="11.25" hidden="1"/>
    <row r="2031" ht="11.25" hidden="1"/>
    <row r="2032" ht="11.25" hidden="1"/>
    <row r="2033" ht="11.25" hidden="1"/>
    <row r="2034" ht="11.25" hidden="1"/>
    <row r="2035" ht="11.25" hidden="1"/>
    <row r="2036" ht="11.25" hidden="1"/>
    <row r="2037" ht="11.25" hidden="1"/>
    <row r="2038" ht="11.25" hidden="1"/>
    <row r="2039" ht="11.25" hidden="1"/>
    <row r="2040" ht="11.25" hidden="1"/>
    <row r="2041" ht="11.25" hidden="1"/>
    <row r="2042" ht="11.25" hidden="1"/>
    <row r="2043" ht="11.25" hidden="1"/>
    <row r="2044" ht="11.25" hidden="1"/>
    <row r="2045" ht="11.25" hidden="1"/>
    <row r="2046" ht="11.25" hidden="1"/>
    <row r="2047" ht="11.25" hidden="1"/>
    <row r="2048" ht="11.25" hidden="1"/>
    <row r="2049" ht="11.25" hidden="1"/>
    <row r="2050" ht="11.25" hidden="1"/>
    <row r="2051" ht="11.25" hidden="1"/>
    <row r="2052" ht="11.25" hidden="1"/>
    <row r="2053" ht="11.25" hidden="1"/>
    <row r="2054" ht="11.25" hidden="1"/>
    <row r="2055" ht="11.25" hidden="1"/>
    <row r="2056" ht="11.25" hidden="1"/>
    <row r="2057" ht="11.25" hidden="1"/>
    <row r="2058" ht="11.25" hidden="1"/>
    <row r="2059" ht="11.25" hidden="1"/>
    <row r="2060" ht="11.25" hidden="1"/>
    <row r="2061" ht="11.25" hidden="1"/>
    <row r="2062" ht="11.25" hidden="1"/>
    <row r="2063" ht="11.25" hidden="1"/>
    <row r="2064" ht="11.25" hidden="1"/>
    <row r="2065" ht="11.25" hidden="1"/>
    <row r="2066" ht="11.25" hidden="1"/>
    <row r="2067" ht="11.25" hidden="1"/>
    <row r="2068" ht="11.25" hidden="1"/>
    <row r="2069" ht="11.25" hidden="1"/>
    <row r="2070" ht="11.25" hidden="1"/>
    <row r="2071" ht="11.25" hidden="1"/>
    <row r="2072" ht="11.25" hidden="1"/>
    <row r="2073" ht="11.25" hidden="1"/>
    <row r="2074" ht="11.25" hidden="1"/>
    <row r="2075" ht="11.25" hidden="1"/>
    <row r="2076" ht="11.25" hidden="1"/>
    <row r="2077" ht="11.25" hidden="1"/>
    <row r="2078" ht="11.25" hidden="1"/>
    <row r="2079" ht="11.25" hidden="1"/>
    <row r="2080" ht="11.25" hidden="1"/>
    <row r="2081" ht="11.25" hidden="1"/>
    <row r="2082" ht="11.25" hidden="1"/>
    <row r="2083" ht="11.25" hidden="1"/>
    <row r="2084" ht="11.25" hidden="1"/>
    <row r="2085" ht="11.25" hidden="1"/>
    <row r="2086" ht="11.25" hidden="1"/>
    <row r="2087" ht="11.25" hidden="1"/>
    <row r="2088" ht="11.25" hidden="1"/>
    <row r="2089" ht="11.25" hidden="1"/>
    <row r="2090" ht="11.25" hidden="1"/>
    <row r="2091" ht="11.25" hidden="1"/>
    <row r="2092" ht="11.25" hidden="1"/>
    <row r="2093" ht="11.25" hidden="1"/>
    <row r="2094" ht="11.25" hidden="1"/>
    <row r="2095" ht="11.25" hidden="1"/>
    <row r="2096" ht="11.25" hidden="1"/>
    <row r="2097" ht="11.25" hidden="1"/>
    <row r="2098" ht="11.25" hidden="1"/>
    <row r="2099" ht="11.25" hidden="1"/>
    <row r="2100" ht="11.25" hidden="1"/>
    <row r="2101" ht="11.25" hidden="1"/>
    <row r="2102" ht="11.25" hidden="1"/>
    <row r="2103" ht="11.25" hidden="1"/>
    <row r="2104" ht="11.25" hidden="1"/>
    <row r="2105" ht="11.25" hidden="1"/>
    <row r="2106" ht="11.25" hidden="1"/>
    <row r="2107" ht="11.25" hidden="1"/>
    <row r="2108" ht="11.25" hidden="1"/>
    <row r="2109" ht="11.25" hidden="1"/>
    <row r="2110" ht="11.25" hidden="1"/>
    <row r="2111" ht="11.25" hidden="1"/>
    <row r="2112" ht="11.25" hidden="1"/>
    <row r="2113" ht="11.25" hidden="1"/>
    <row r="2114" ht="11.25" hidden="1"/>
    <row r="2115" ht="11.25" hidden="1"/>
    <row r="2116" ht="11.25" hidden="1"/>
    <row r="2117" ht="11.25" hidden="1"/>
    <row r="2118" ht="11.25" hidden="1"/>
    <row r="2119" ht="11.25" hidden="1"/>
    <row r="2120" ht="11.25" hidden="1"/>
    <row r="2121" ht="11.25" hidden="1"/>
    <row r="2122" ht="11.25" hidden="1"/>
    <row r="2123" ht="11.25" hidden="1"/>
    <row r="2124" ht="11.25" hidden="1"/>
    <row r="2125" ht="11.25" hidden="1"/>
    <row r="2126" ht="11.25" hidden="1"/>
    <row r="2127" ht="11.25" hidden="1"/>
    <row r="2128" ht="11.25" hidden="1"/>
    <row r="2129" ht="11.25" hidden="1"/>
    <row r="2130" ht="11.25" hidden="1"/>
    <row r="2131" ht="11.25" hidden="1"/>
    <row r="2132" ht="11.25" hidden="1"/>
    <row r="2133" ht="11.25" hidden="1"/>
    <row r="2134" ht="11.25" hidden="1"/>
    <row r="2135" ht="11.25" hidden="1"/>
    <row r="2136" ht="11.25" hidden="1"/>
    <row r="2137" ht="11.25" hidden="1"/>
    <row r="2138" ht="11.25" hidden="1"/>
    <row r="2139" ht="11.25" hidden="1"/>
    <row r="2140" ht="11.25" hidden="1"/>
    <row r="2141" ht="11.25" hidden="1"/>
    <row r="2142" ht="11.25" hidden="1"/>
    <row r="2143" ht="11.25" hidden="1"/>
    <row r="2144" ht="11.25" hidden="1"/>
    <row r="2145" ht="11.25" hidden="1"/>
    <row r="2146" ht="11.25" hidden="1"/>
    <row r="2147" ht="11.25" hidden="1"/>
    <row r="2148" ht="11.25" hidden="1"/>
    <row r="2149" ht="11.25" hidden="1"/>
    <row r="2150" ht="11.25" hidden="1"/>
    <row r="2151" ht="11.25" hidden="1"/>
    <row r="2152" ht="11.25" hidden="1"/>
    <row r="2153" ht="11.25" hidden="1"/>
    <row r="2154" ht="11.25" hidden="1"/>
    <row r="2155" ht="11.25" hidden="1"/>
    <row r="2156" ht="11.25" hidden="1"/>
    <row r="2157" ht="11.25" hidden="1"/>
    <row r="2158" ht="11.25" hidden="1"/>
    <row r="2159" ht="11.25" hidden="1"/>
    <row r="2160" ht="11.25" hidden="1"/>
    <row r="2161" ht="11.25" hidden="1"/>
    <row r="2162" ht="11.25" hidden="1"/>
    <row r="2163" ht="11.25" hidden="1"/>
    <row r="2164" ht="11.25" hidden="1"/>
    <row r="2165" ht="11.25" hidden="1"/>
    <row r="2166" ht="11.25" hidden="1"/>
    <row r="2167" ht="11.25" hidden="1"/>
    <row r="2168" ht="11.25" hidden="1"/>
    <row r="2169" ht="11.25" hidden="1"/>
    <row r="2170" ht="11.25" hidden="1"/>
    <row r="2171" ht="11.25" hidden="1"/>
    <row r="2172" ht="11.25" hidden="1"/>
    <row r="2173" ht="11.25" hidden="1"/>
    <row r="2174" ht="11.25" hidden="1"/>
    <row r="2175" ht="11.25" hidden="1"/>
    <row r="2176" ht="11.25" hidden="1"/>
    <row r="2177" ht="11.25" hidden="1"/>
    <row r="2178" ht="11.25" hidden="1"/>
    <row r="2179" ht="11.25" hidden="1"/>
    <row r="2180" ht="11.25" hidden="1"/>
    <row r="2181" ht="11.25" hidden="1"/>
    <row r="2182" ht="11.25" hidden="1"/>
    <row r="2183" ht="11.25" hidden="1"/>
    <row r="2184" ht="11.25" hidden="1"/>
    <row r="2185" ht="11.25" hidden="1"/>
    <row r="2186" ht="11.25" hidden="1"/>
    <row r="2187" ht="11.25" hidden="1"/>
    <row r="2188" ht="11.25" hidden="1"/>
    <row r="2189" ht="11.25" hidden="1"/>
    <row r="2190" ht="11.25" hidden="1"/>
    <row r="2191" ht="11.25" hidden="1"/>
    <row r="2192" ht="11.25" hidden="1"/>
    <row r="2193" ht="11.25" hidden="1"/>
    <row r="2194" ht="11.25" hidden="1"/>
    <row r="2195" ht="11.25" hidden="1"/>
    <row r="2196" ht="11.25" hidden="1"/>
    <row r="2197" ht="11.25" hidden="1"/>
    <row r="2198" ht="11.25" hidden="1"/>
    <row r="2199" ht="11.25" hidden="1"/>
    <row r="2200" ht="11.25" hidden="1"/>
    <row r="2201" ht="11.25" hidden="1"/>
    <row r="2202" ht="11.25" hidden="1"/>
    <row r="2203" ht="11.25" hidden="1"/>
    <row r="2204" ht="11.25" hidden="1"/>
    <row r="2205" ht="11.25" hidden="1"/>
    <row r="2206" ht="11.25" hidden="1"/>
    <row r="2207" ht="11.25" hidden="1"/>
    <row r="2208" ht="11.25" hidden="1"/>
    <row r="2209" ht="11.25" hidden="1"/>
    <row r="2210" ht="11.25" hidden="1"/>
    <row r="2211" ht="11.25" hidden="1"/>
    <row r="2212" ht="11.25" hidden="1"/>
    <row r="2213" ht="11.25" hidden="1"/>
    <row r="2214" ht="11.25" hidden="1"/>
    <row r="2215" ht="11.25" hidden="1"/>
    <row r="2216" ht="11.25" hidden="1"/>
    <row r="2217" ht="11.25" hidden="1"/>
    <row r="2218" ht="11.25" hidden="1"/>
    <row r="2219" ht="11.25" hidden="1"/>
    <row r="2220" ht="11.25" hidden="1"/>
    <row r="2221" ht="11.25" hidden="1"/>
    <row r="2222" ht="11.25" hidden="1"/>
    <row r="2223" ht="11.25" hidden="1"/>
    <row r="2224" ht="11.25" hidden="1"/>
    <row r="2225" ht="11.25" hidden="1"/>
    <row r="2226" ht="11.25" hidden="1"/>
    <row r="2227" ht="11.25" hidden="1"/>
    <row r="2228" ht="11.25" hidden="1"/>
    <row r="2229" ht="11.25" hidden="1"/>
    <row r="2230" ht="11.25" hidden="1"/>
    <row r="2231" ht="11.25" hidden="1"/>
    <row r="2232" ht="11.25" hidden="1"/>
    <row r="2233" ht="11.25" hidden="1"/>
    <row r="2234" ht="11.25" hidden="1"/>
    <row r="2235" ht="11.25" hidden="1"/>
    <row r="2236" ht="11.25" hidden="1"/>
    <row r="2237" ht="11.25" hidden="1"/>
    <row r="2238" ht="11.25" hidden="1"/>
    <row r="2239" ht="11.25" hidden="1"/>
    <row r="2240" ht="11.25" hidden="1"/>
    <row r="2241" ht="11.25" hidden="1"/>
    <row r="2242" ht="11.25" hidden="1"/>
    <row r="2243" ht="11.25" hidden="1"/>
    <row r="2244" ht="11.25" hidden="1"/>
    <row r="2245" ht="11.25" hidden="1"/>
    <row r="2246" ht="11.25" hidden="1"/>
    <row r="2247" ht="11.25" hidden="1"/>
    <row r="2248" ht="11.25" hidden="1"/>
    <row r="2249" ht="11.25" hidden="1"/>
    <row r="2250" ht="11.25" hidden="1"/>
    <row r="2251" ht="11.25" hidden="1"/>
    <row r="2252" ht="11.25" hidden="1"/>
    <row r="2253" ht="11.25" hidden="1"/>
    <row r="2254" ht="11.25" hidden="1"/>
    <row r="2255" ht="11.25" hidden="1"/>
    <row r="2256" ht="11.25" hidden="1"/>
    <row r="2257" ht="11.25" hidden="1"/>
    <row r="2258" ht="11.25" hidden="1"/>
    <row r="2259" ht="11.25" hidden="1"/>
    <row r="2260" ht="11.25" hidden="1"/>
    <row r="2261" ht="11.25" hidden="1"/>
    <row r="2262" ht="11.25" hidden="1"/>
    <row r="2263" ht="11.25" hidden="1"/>
    <row r="2264" ht="11.25" hidden="1"/>
    <row r="2265" ht="11.25" hidden="1"/>
    <row r="2266" ht="11.25" hidden="1"/>
    <row r="2267" ht="11.25" hidden="1"/>
    <row r="2268" ht="11.25" hidden="1"/>
    <row r="2269" ht="11.25" hidden="1"/>
    <row r="2270" ht="11.25" hidden="1"/>
    <row r="2271" ht="11.25" hidden="1"/>
    <row r="2272" ht="11.25" hidden="1"/>
    <row r="2273" ht="11.25" hidden="1"/>
    <row r="2274" ht="11.25" hidden="1"/>
    <row r="2275" ht="11.25" hidden="1"/>
    <row r="2276" ht="11.25" hidden="1"/>
    <row r="2277" ht="11.25" hidden="1"/>
    <row r="2278" ht="11.25" hidden="1"/>
    <row r="2279" ht="11.25" hidden="1"/>
    <row r="2280" ht="11.25" hidden="1"/>
    <row r="2281" ht="11.25" hidden="1"/>
    <row r="2282" ht="11.25" hidden="1"/>
    <row r="2283" ht="11.25" hidden="1"/>
    <row r="2284" ht="11.25" hidden="1"/>
    <row r="2285" ht="11.25" hidden="1"/>
    <row r="2286" ht="11.25" hidden="1"/>
    <row r="2287" ht="11.25" hidden="1"/>
    <row r="2288" ht="11.25" hidden="1"/>
    <row r="2289" ht="11.25" hidden="1"/>
    <row r="2290" ht="11.25" hidden="1"/>
    <row r="2291" ht="11.25" hidden="1"/>
    <row r="2292" ht="11.25" hidden="1"/>
    <row r="2293" ht="11.25" hidden="1"/>
    <row r="2294" ht="11.25" hidden="1"/>
    <row r="2295" ht="11.25" hidden="1"/>
    <row r="2296" ht="11.25" hidden="1"/>
    <row r="2297" ht="11.25" hidden="1"/>
    <row r="2298" ht="11.25" hidden="1"/>
    <row r="2299" ht="11.25" hidden="1"/>
    <row r="2300" ht="11.25" hidden="1"/>
    <row r="2301" ht="11.25" hidden="1"/>
    <row r="2302" ht="11.25" hidden="1"/>
    <row r="2303" ht="11.25" hidden="1"/>
    <row r="2304" ht="11.25" hidden="1"/>
    <row r="2305" ht="11.25" hidden="1"/>
    <row r="2306" ht="11.25" hidden="1"/>
    <row r="2307" ht="11.25" hidden="1"/>
    <row r="2308" ht="11.25" hidden="1"/>
    <row r="2309" ht="11.25" hidden="1"/>
    <row r="2310" ht="11.25" hidden="1"/>
    <row r="2311" ht="11.25" hidden="1"/>
    <row r="2312" ht="11.25" hidden="1"/>
    <row r="2313" ht="11.25" hidden="1"/>
    <row r="2314" ht="11.25" hidden="1"/>
    <row r="2315" ht="11.25" hidden="1"/>
    <row r="2316" ht="11.25" hidden="1"/>
    <row r="2317" ht="11.25" hidden="1"/>
    <row r="2318" ht="11.25" hidden="1"/>
    <row r="2319" ht="11.25" hidden="1"/>
    <row r="2320" ht="11.25" hidden="1"/>
    <row r="2321" ht="11.25" hidden="1"/>
    <row r="2322" ht="11.25" hidden="1"/>
    <row r="2323" ht="11.25" hidden="1"/>
    <row r="2324" ht="11.25" hidden="1"/>
    <row r="2325" ht="11.25" hidden="1"/>
    <row r="2326" ht="11.25" hidden="1"/>
    <row r="2327" ht="11.25" hidden="1"/>
    <row r="2328" ht="11.25" hidden="1"/>
    <row r="2329" ht="11.25" hidden="1"/>
    <row r="2330" ht="11.25" hidden="1"/>
    <row r="2331" ht="11.25" hidden="1"/>
    <row r="2332" ht="11.25" hidden="1"/>
    <row r="2333" ht="11.25" hidden="1"/>
    <row r="2334" ht="11.25" hidden="1"/>
    <row r="2335" ht="11.25" hidden="1"/>
    <row r="2336" ht="11.25" hidden="1"/>
    <row r="2337" ht="11.25" hidden="1"/>
    <row r="2338" ht="11.25" hidden="1"/>
    <row r="2339" ht="11.25" hidden="1"/>
    <row r="2340" ht="11.25" hidden="1"/>
    <row r="2341" ht="11.25" hidden="1"/>
    <row r="2342" ht="11.25" hidden="1"/>
    <row r="2343" ht="11.25" hidden="1"/>
    <row r="2344" ht="11.25" hidden="1"/>
    <row r="2345" ht="11.25" hidden="1"/>
    <row r="2346" ht="11.25" hidden="1"/>
    <row r="2347" ht="11.25" hidden="1"/>
    <row r="2348" ht="11.25" hidden="1"/>
    <row r="2349" ht="11.25" hidden="1"/>
    <row r="2350" ht="11.25" hidden="1"/>
    <row r="2351" ht="11.25" hidden="1"/>
    <row r="2352" ht="11.25" hidden="1"/>
    <row r="2353" ht="11.25" hidden="1"/>
    <row r="2354" ht="11.25" hidden="1"/>
    <row r="2355" ht="11.25" hidden="1"/>
    <row r="2356" ht="11.25" hidden="1"/>
    <row r="2357" ht="11.25" hidden="1"/>
    <row r="2358" ht="11.25" hidden="1"/>
    <row r="2359" ht="11.25" hidden="1"/>
    <row r="2360" ht="11.25" hidden="1"/>
    <row r="2361" ht="11.25" hidden="1"/>
    <row r="2362" ht="11.25" hidden="1"/>
    <row r="2363" ht="11.25" hidden="1"/>
    <row r="2364" ht="11.25" hidden="1"/>
    <row r="2365" ht="11.25" hidden="1"/>
    <row r="2366" ht="11.25" hidden="1"/>
    <row r="2367" ht="11.25" hidden="1"/>
    <row r="2368" ht="11.25" hidden="1"/>
    <row r="2369" ht="11.25" hidden="1"/>
    <row r="2370" ht="11.25" hidden="1"/>
    <row r="2371" ht="11.25" hidden="1"/>
    <row r="2372" ht="11.25" hidden="1"/>
    <row r="2373" ht="11.25" hidden="1"/>
    <row r="2374" ht="11.25" hidden="1"/>
    <row r="2375" ht="11.25" hidden="1"/>
    <row r="2376" ht="11.25" hidden="1"/>
    <row r="2377" ht="11.25" hidden="1"/>
    <row r="2378" ht="11.25" hidden="1"/>
    <row r="2379" ht="11.25" hidden="1"/>
    <row r="2380" ht="11.25" hidden="1"/>
    <row r="2381" ht="11.25" hidden="1"/>
    <row r="2382" ht="11.25" hidden="1"/>
    <row r="2383" ht="11.25" hidden="1"/>
    <row r="2384" ht="11.25" hidden="1"/>
    <row r="2385" ht="11.25" hidden="1"/>
    <row r="2386" ht="11.25" hidden="1"/>
    <row r="2387" ht="11.25" hidden="1"/>
    <row r="2388" ht="11.25" hidden="1"/>
    <row r="2389" ht="11.25" hidden="1"/>
    <row r="2390" ht="11.25" hidden="1"/>
    <row r="2391" ht="11.25" hidden="1"/>
    <row r="2392" ht="11.25" hidden="1"/>
    <row r="2393" ht="11.25" hidden="1"/>
    <row r="2394" ht="11.25" hidden="1"/>
    <row r="2395" ht="11.25" hidden="1"/>
    <row r="2396" ht="11.25" hidden="1"/>
    <row r="2397" ht="11.25" hidden="1"/>
    <row r="2398" ht="11.25" hidden="1"/>
    <row r="2399" ht="11.25" hidden="1"/>
    <row r="2400" ht="11.25" hidden="1"/>
    <row r="2401" ht="11.25" hidden="1"/>
    <row r="2402" ht="11.25" hidden="1"/>
    <row r="2403" ht="11.25" hidden="1"/>
    <row r="2404" ht="11.25" hidden="1"/>
    <row r="2405" ht="11.25" hidden="1"/>
    <row r="2406" ht="11.25" hidden="1"/>
    <row r="2407" ht="11.25" hidden="1"/>
    <row r="2408" ht="11.25" hidden="1"/>
    <row r="2409" ht="11.25" hidden="1"/>
    <row r="2410" ht="11.25" hidden="1"/>
    <row r="2411" ht="11.25" hidden="1"/>
    <row r="2412" ht="11.25" hidden="1"/>
    <row r="2413" ht="11.25" hidden="1"/>
    <row r="2414" ht="11.25" hidden="1"/>
    <row r="2415" ht="11.25" hidden="1"/>
    <row r="2416" ht="11.25" hidden="1"/>
    <row r="2417" ht="11.25" hidden="1"/>
    <row r="2418" ht="11.25" hidden="1"/>
    <row r="2419" ht="11.25" hidden="1"/>
    <row r="2420" ht="11.25" hidden="1"/>
    <row r="2421" ht="11.25" hidden="1"/>
    <row r="2422" ht="11.25" hidden="1"/>
    <row r="2423" ht="11.25" hidden="1"/>
    <row r="2424" ht="11.25" hidden="1"/>
    <row r="2425" ht="11.25" hidden="1"/>
    <row r="2426" ht="11.25" hidden="1"/>
    <row r="2427" ht="11.25" hidden="1"/>
    <row r="2428" ht="11.25" hidden="1"/>
    <row r="2429" ht="11.25" hidden="1"/>
    <row r="2430" ht="11.25" hidden="1"/>
    <row r="2431" ht="11.25" hidden="1"/>
    <row r="2432" ht="11.25" hidden="1"/>
    <row r="2433" ht="11.25" hidden="1"/>
    <row r="2434" ht="11.25" hidden="1"/>
    <row r="2435" ht="11.25" hidden="1"/>
    <row r="2436" ht="11.25" hidden="1"/>
    <row r="2437" ht="11.25" hidden="1"/>
    <row r="2438" ht="11.25" hidden="1"/>
    <row r="2439" ht="11.25" hidden="1"/>
    <row r="2440" ht="11.25" hidden="1"/>
    <row r="2441" ht="11.25" hidden="1"/>
    <row r="2442" ht="11.25" hidden="1"/>
    <row r="2443" ht="11.25" hidden="1"/>
    <row r="2444" ht="11.25" hidden="1"/>
    <row r="2445" ht="11.25" hidden="1"/>
    <row r="2446" ht="11.25" hidden="1"/>
    <row r="2447" ht="11.25" hidden="1"/>
    <row r="2448" ht="11.25" hidden="1"/>
    <row r="2449" ht="11.25" hidden="1"/>
    <row r="2450" ht="11.25" hidden="1"/>
    <row r="2451" ht="11.25" hidden="1"/>
    <row r="2452" ht="11.25" hidden="1"/>
    <row r="2453" ht="11.25" hidden="1"/>
    <row r="2454" ht="11.25" hidden="1"/>
    <row r="2455" ht="11.25" hidden="1"/>
    <row r="2456" ht="11.25" hidden="1"/>
    <row r="2457" ht="11.25" hidden="1"/>
    <row r="2458" ht="11.25" hidden="1"/>
    <row r="2459" ht="11.25" hidden="1"/>
    <row r="2460" ht="11.25" hidden="1"/>
    <row r="2461" ht="11.25" hidden="1"/>
    <row r="2462" ht="11.25" hidden="1"/>
    <row r="2463" ht="11.25" hidden="1"/>
    <row r="2464" ht="11.25" hidden="1"/>
    <row r="2465" ht="11.25" hidden="1"/>
    <row r="2466" ht="11.25" hidden="1"/>
    <row r="2467" ht="11.25" hidden="1"/>
    <row r="2468" ht="11.25" hidden="1"/>
    <row r="2469" ht="11.25" hidden="1"/>
    <row r="2470" ht="11.25" hidden="1"/>
    <row r="2471" ht="11.25" hidden="1"/>
    <row r="2472" ht="11.25" hidden="1"/>
    <row r="2473" ht="11.25" hidden="1"/>
    <row r="2474" ht="11.25" hidden="1"/>
    <row r="2475" ht="11.25" hidden="1"/>
    <row r="2476" ht="11.25" hidden="1"/>
    <row r="2477" ht="11.25" hidden="1"/>
    <row r="2478" ht="11.25" hidden="1"/>
    <row r="2479" ht="11.25" hidden="1"/>
    <row r="2480" ht="11.25" hidden="1"/>
    <row r="2481" ht="11.25" hidden="1"/>
    <row r="2482" ht="11.25" hidden="1"/>
    <row r="2483" ht="11.25" hidden="1"/>
    <row r="2484" ht="11.25" hidden="1"/>
    <row r="2485" ht="11.25" hidden="1"/>
    <row r="2486" ht="11.25" hidden="1"/>
    <row r="2487" ht="11.25" hidden="1"/>
    <row r="2488" ht="11.25" hidden="1"/>
    <row r="2489" ht="11.25" hidden="1"/>
    <row r="2490" ht="11.25" hidden="1"/>
    <row r="2491" ht="11.25" hidden="1"/>
    <row r="2492" ht="11.25" hidden="1"/>
    <row r="2493" ht="11.25" hidden="1"/>
    <row r="2494" ht="11.25" hidden="1"/>
    <row r="2495" ht="11.25" hidden="1"/>
    <row r="2496" ht="11.25" hidden="1"/>
    <row r="2497" ht="11.25" hidden="1"/>
    <row r="2498" ht="11.25" hidden="1"/>
    <row r="2499" ht="11.25" hidden="1"/>
    <row r="2500" ht="11.25" hidden="1"/>
    <row r="2501" ht="11.25" hidden="1"/>
    <row r="2502" ht="11.25" hidden="1"/>
    <row r="2503" ht="11.25" hidden="1"/>
    <row r="2504" ht="11.25" hidden="1"/>
    <row r="2505" ht="11.25" hidden="1"/>
    <row r="2506" ht="11.25" hidden="1"/>
    <row r="2507" ht="11.25" hidden="1"/>
    <row r="2508" ht="11.25" hidden="1"/>
    <row r="2509" ht="11.25" hidden="1"/>
    <row r="2510" ht="11.25" hidden="1"/>
    <row r="2511" ht="11.25" hidden="1"/>
    <row r="2512" ht="11.25" hidden="1"/>
    <row r="2513" ht="11.25" hidden="1"/>
    <row r="2514" ht="11.25" hidden="1"/>
    <row r="2515" ht="11.25" hidden="1"/>
    <row r="2516" ht="11.25" hidden="1"/>
    <row r="2517" ht="11.25" hidden="1"/>
    <row r="2518" ht="11.25" hidden="1"/>
    <row r="2519" ht="11.25" hidden="1"/>
    <row r="2520" ht="11.25" hidden="1"/>
    <row r="2521" ht="11.25" hidden="1"/>
    <row r="2522" ht="11.25" hidden="1"/>
    <row r="2523" ht="11.25" hidden="1"/>
    <row r="2524" ht="11.25" hidden="1"/>
    <row r="2525" ht="11.25" hidden="1"/>
    <row r="2526" ht="11.25" hidden="1"/>
    <row r="2527" ht="11.25" hidden="1"/>
    <row r="2528" ht="11.25" hidden="1"/>
    <row r="2529" ht="11.25" hidden="1"/>
    <row r="2530" ht="11.25" hidden="1"/>
    <row r="2531" ht="11.25" hidden="1"/>
    <row r="2532" ht="11.25" hidden="1"/>
    <row r="2533" ht="11.25" hidden="1"/>
    <row r="2534" ht="11.25" hidden="1"/>
    <row r="2535" ht="11.25" hidden="1"/>
    <row r="2536" ht="11.25" hidden="1"/>
    <row r="2537" ht="11.25" hidden="1"/>
    <row r="2538" ht="11.25" hidden="1"/>
    <row r="2539" ht="11.25" hidden="1"/>
    <row r="2540" ht="11.25" hidden="1"/>
    <row r="2541" ht="11.25" hidden="1"/>
    <row r="2542" ht="11.25" hidden="1"/>
    <row r="2543" ht="11.25" hidden="1"/>
    <row r="2544" ht="11.25" hidden="1"/>
    <row r="2545" ht="11.25" hidden="1"/>
    <row r="2546" ht="11.25" hidden="1"/>
    <row r="2547" ht="11.25" hidden="1"/>
    <row r="2548" ht="11.25" hidden="1"/>
    <row r="2549" ht="11.25" hidden="1"/>
    <row r="2550" ht="11.25" hidden="1"/>
    <row r="2551" ht="11.25" hidden="1"/>
    <row r="2552" ht="11.25" hidden="1"/>
    <row r="2553" ht="11.25" hidden="1"/>
    <row r="2554" ht="11.25" hidden="1"/>
    <row r="2555" ht="11.25" hidden="1"/>
    <row r="2556" ht="11.25" hidden="1"/>
    <row r="2557" ht="11.25" hidden="1"/>
    <row r="2558" ht="11.25" hidden="1"/>
    <row r="2559" ht="11.25" hidden="1"/>
    <row r="2560" ht="11.25" hidden="1"/>
    <row r="2561" ht="11.25" hidden="1"/>
    <row r="2562" ht="11.25" hidden="1"/>
    <row r="2563" ht="11.25" hidden="1"/>
    <row r="2564" ht="11.25" hidden="1"/>
    <row r="2565" ht="11.25" hidden="1"/>
    <row r="2566" ht="11.25" hidden="1"/>
    <row r="2567" ht="11.25" hidden="1"/>
    <row r="2568" ht="11.25" hidden="1"/>
    <row r="2569" ht="11.25" hidden="1"/>
    <row r="2570" ht="11.25" hidden="1"/>
    <row r="2571" ht="11.25" hidden="1"/>
    <row r="2572" ht="11.25" hidden="1"/>
    <row r="2573" ht="11.25" hidden="1"/>
    <row r="2574" ht="11.25" hidden="1"/>
    <row r="2575" ht="11.25" hidden="1"/>
    <row r="2576" ht="11.25" hidden="1"/>
    <row r="2577" ht="11.25" hidden="1"/>
    <row r="2578" ht="11.25" hidden="1"/>
    <row r="2579" ht="11.25" hidden="1"/>
    <row r="2580" ht="11.25" hidden="1"/>
    <row r="2581" ht="11.25" hidden="1"/>
    <row r="2582" ht="11.25" hidden="1"/>
    <row r="2583" ht="11.25" hidden="1"/>
    <row r="2584" ht="11.25" hidden="1"/>
    <row r="2585" ht="11.25" hidden="1"/>
    <row r="2586" ht="11.25" hidden="1"/>
    <row r="2587" ht="11.25" hidden="1"/>
    <row r="2588" ht="11.25" hidden="1"/>
    <row r="2589" ht="11.25" hidden="1"/>
    <row r="2590" ht="11.25" hidden="1"/>
    <row r="2591" ht="11.25" hidden="1"/>
    <row r="2592" ht="11.25" hidden="1"/>
    <row r="2593" ht="11.25" hidden="1"/>
    <row r="2594" ht="11.25" hidden="1"/>
    <row r="2595" ht="11.25" hidden="1"/>
    <row r="2596" ht="11.25" hidden="1"/>
    <row r="2597" ht="11.25" hidden="1"/>
    <row r="2598" ht="11.25" hidden="1"/>
    <row r="2599" ht="11.25" hidden="1"/>
    <row r="2600" ht="11.25" hidden="1"/>
    <row r="2601" ht="11.25" hidden="1"/>
    <row r="2602" ht="11.25" hidden="1"/>
    <row r="2603" ht="11.25" hidden="1"/>
    <row r="2604" ht="11.25" hidden="1"/>
    <row r="2605" ht="11.25" hidden="1"/>
    <row r="2606" ht="11.25" hidden="1"/>
    <row r="2607" ht="11.25" hidden="1"/>
    <row r="2608" ht="11.25" hidden="1"/>
    <row r="2609" ht="11.25" hidden="1"/>
    <row r="2610" ht="11.25" hidden="1"/>
    <row r="2611" ht="11.25" hidden="1"/>
    <row r="2612" ht="11.25" hidden="1"/>
    <row r="2613" ht="11.25" hidden="1"/>
    <row r="2614" ht="11.25" hidden="1"/>
    <row r="2615" ht="11.25" hidden="1"/>
    <row r="2616" ht="11.25" hidden="1"/>
    <row r="2617" ht="11.25" hidden="1"/>
    <row r="2618" ht="11.25" hidden="1"/>
    <row r="2619" ht="11.25" hidden="1"/>
    <row r="2620" ht="11.25" hidden="1"/>
    <row r="2621" ht="11.25" hidden="1"/>
    <row r="2622" ht="11.25" hidden="1"/>
    <row r="2623" ht="11.25" hidden="1"/>
    <row r="2624" ht="11.25" hidden="1"/>
    <row r="2625" ht="11.25" hidden="1"/>
    <row r="2626" ht="11.25" hidden="1"/>
    <row r="2627" ht="11.25" hidden="1"/>
    <row r="2628" ht="11.25" hidden="1"/>
    <row r="2629" ht="11.25" hidden="1"/>
    <row r="2630" ht="11.25" hidden="1"/>
    <row r="2631" ht="11.25" hidden="1"/>
    <row r="2632" ht="11.25" hidden="1"/>
    <row r="2633" ht="11.25" hidden="1"/>
    <row r="2634" ht="11.25" hidden="1"/>
    <row r="2635" ht="11.25" hidden="1"/>
    <row r="2636" ht="11.25" hidden="1"/>
    <row r="2637" ht="11.25" hidden="1"/>
    <row r="2638" ht="11.25" hidden="1"/>
    <row r="2639" ht="11.25" hidden="1"/>
    <row r="2640" ht="11.25" hidden="1"/>
    <row r="2641" ht="11.25" hidden="1"/>
    <row r="2642" ht="11.25" hidden="1"/>
    <row r="2643" ht="11.25" hidden="1"/>
    <row r="2644" ht="11.25" hidden="1"/>
    <row r="2645" ht="11.25" hidden="1"/>
    <row r="2646" ht="11.25" hidden="1"/>
    <row r="2647" ht="11.25" hidden="1"/>
    <row r="2648" ht="11.25" hidden="1"/>
    <row r="2649" ht="11.25" hidden="1"/>
    <row r="2650" ht="11.25" hidden="1"/>
    <row r="2651" ht="11.25" hidden="1"/>
    <row r="2652" ht="11.25" hidden="1"/>
    <row r="2653" ht="11.25" hidden="1"/>
    <row r="2654" ht="11.25" hidden="1"/>
    <row r="2655" ht="11.25" hidden="1"/>
    <row r="2656" ht="11.25" hidden="1"/>
    <row r="2657" ht="11.25" hidden="1"/>
    <row r="2658" ht="11.25" hidden="1"/>
    <row r="2659" ht="11.25" hidden="1"/>
    <row r="2660" ht="11.25" hidden="1"/>
    <row r="2661" ht="11.25" hidden="1"/>
    <row r="2662" ht="11.25" hidden="1"/>
    <row r="2663" ht="11.25" hidden="1"/>
    <row r="2664" ht="11.25" hidden="1"/>
    <row r="2665" ht="11.25" hidden="1"/>
    <row r="2666" ht="11.25" hidden="1"/>
    <row r="2667" ht="11.25" hidden="1"/>
    <row r="2668" ht="11.25" hidden="1"/>
    <row r="2669" ht="11.25" hidden="1"/>
    <row r="2670" ht="11.25" hidden="1"/>
    <row r="2671" ht="11.25" hidden="1"/>
    <row r="2672" ht="11.25" hidden="1"/>
    <row r="2673" ht="11.25" hidden="1"/>
    <row r="2674" ht="11.25" hidden="1"/>
    <row r="2675" ht="11.25" hidden="1"/>
    <row r="2676" ht="11.25" hidden="1"/>
    <row r="2677" ht="11.25" hidden="1"/>
    <row r="2678" ht="11.25" hidden="1"/>
    <row r="2679" ht="11.25" hidden="1"/>
    <row r="2680" ht="11.25" hidden="1"/>
    <row r="2681" ht="11.25" hidden="1"/>
    <row r="2682" ht="11.25" hidden="1"/>
    <row r="2683" ht="11.25" hidden="1"/>
    <row r="2684" ht="11.25" hidden="1"/>
    <row r="2685" ht="11.25" hidden="1"/>
    <row r="2686" ht="11.25" hidden="1"/>
    <row r="2687" ht="11.25" hidden="1"/>
    <row r="2688" ht="11.25" hidden="1"/>
    <row r="2689" ht="11.25" hidden="1"/>
    <row r="2690" ht="11.25" hidden="1"/>
    <row r="2691" ht="11.25" hidden="1"/>
    <row r="2692" ht="11.25" hidden="1"/>
    <row r="2693" ht="11.25" hidden="1"/>
    <row r="2694" ht="11.25" hidden="1"/>
    <row r="2695" ht="11.25" hidden="1"/>
    <row r="2696" ht="11.25" hidden="1"/>
    <row r="2697" ht="11.25" hidden="1"/>
    <row r="2698" ht="11.25" hidden="1"/>
    <row r="2699" ht="11.25" hidden="1"/>
    <row r="2700" ht="11.25" hidden="1"/>
    <row r="2701" ht="11.25" hidden="1"/>
    <row r="2702" ht="11.25" hidden="1"/>
    <row r="2703" ht="11.25" hidden="1"/>
    <row r="2704" ht="11.25" hidden="1"/>
    <row r="2705" ht="11.25" hidden="1"/>
    <row r="2706" ht="11.25" hidden="1"/>
    <row r="2707" ht="11.25" hidden="1"/>
    <row r="2708" ht="11.25" hidden="1"/>
    <row r="2709" ht="11.25" hidden="1"/>
    <row r="2710" ht="11.25" hidden="1"/>
    <row r="2711" ht="11.25" hidden="1"/>
    <row r="2712" ht="11.25" hidden="1"/>
    <row r="2713" ht="11.25" hidden="1"/>
    <row r="2714" ht="11.25" hidden="1"/>
    <row r="2715" ht="11.25" hidden="1"/>
    <row r="2716" ht="11.25" hidden="1"/>
    <row r="2717" ht="11.25" hidden="1"/>
    <row r="2718" ht="11.25" hidden="1"/>
    <row r="2719" ht="11.25" hidden="1"/>
    <row r="2720" ht="11.25" hidden="1"/>
    <row r="2721" ht="11.25" hidden="1"/>
    <row r="2722" ht="11.25" hidden="1"/>
    <row r="2723" ht="11.25" hidden="1"/>
    <row r="2724" ht="11.25" hidden="1"/>
    <row r="2725" ht="11.25" hidden="1"/>
    <row r="2726" ht="11.25" hidden="1"/>
    <row r="2727" ht="11.25" hidden="1"/>
    <row r="2728" ht="11.25" hidden="1"/>
    <row r="2729" ht="11.25" hidden="1"/>
    <row r="2730" ht="11.25" hidden="1"/>
    <row r="2731" ht="11.25" hidden="1"/>
    <row r="2732" ht="11.25" hidden="1"/>
    <row r="2733" ht="11.25" hidden="1"/>
    <row r="2734" ht="11.25" hidden="1"/>
    <row r="2735" ht="11.25" hidden="1"/>
    <row r="2736" ht="11.25" hidden="1"/>
    <row r="2737" ht="11.25" hidden="1"/>
    <row r="2738" ht="11.25" hidden="1"/>
    <row r="2739" ht="11.25" hidden="1"/>
    <row r="2740" ht="11.25" hidden="1"/>
    <row r="2741" ht="11.25" hidden="1"/>
    <row r="2742" ht="11.25" hidden="1"/>
    <row r="2743" ht="11.25" hidden="1"/>
    <row r="2744" ht="11.25" hidden="1"/>
    <row r="2745" ht="11.25" hidden="1"/>
    <row r="2746" ht="11.25" hidden="1"/>
    <row r="2747" ht="11.25" hidden="1"/>
    <row r="2748" ht="11.25" hidden="1"/>
    <row r="2749" ht="11.25" hidden="1"/>
    <row r="2750" ht="11.25" hidden="1"/>
    <row r="2751" ht="11.25" hidden="1"/>
    <row r="2752" ht="11.25" hidden="1"/>
    <row r="2753" ht="11.25" hidden="1"/>
    <row r="2754" ht="11.25" hidden="1"/>
    <row r="2755" ht="11.25" hidden="1"/>
    <row r="2756" ht="11.25" hidden="1"/>
    <row r="2757" ht="11.25" hidden="1"/>
    <row r="2758" ht="11.25" hidden="1"/>
    <row r="2759" ht="11.25" hidden="1"/>
    <row r="2760" ht="11.25" hidden="1"/>
    <row r="2761" ht="11.25" hidden="1"/>
    <row r="2762" ht="11.25" hidden="1"/>
    <row r="2763" ht="11.25" hidden="1"/>
    <row r="2764" ht="11.25" hidden="1"/>
    <row r="2765" ht="11.25" hidden="1"/>
    <row r="2766" ht="11.25" hidden="1"/>
    <row r="2767" ht="11.25" hidden="1"/>
    <row r="2768" ht="11.25" hidden="1"/>
    <row r="2769" ht="11.25" hidden="1"/>
    <row r="2770" ht="11.25" hidden="1"/>
    <row r="2771" ht="11.25" hidden="1"/>
    <row r="2772" ht="11.25" hidden="1"/>
    <row r="2773" ht="11.25" hidden="1"/>
    <row r="2774" ht="11.25" hidden="1"/>
    <row r="2775" ht="11.25" hidden="1"/>
    <row r="2776" ht="11.25" hidden="1"/>
    <row r="2777" ht="11.25" hidden="1"/>
    <row r="2778" ht="11.25" hidden="1"/>
    <row r="2779" ht="11.25" hidden="1"/>
    <row r="2780" ht="11.25" hidden="1"/>
    <row r="2781" ht="11.25" hidden="1"/>
    <row r="2782" ht="11.25" hidden="1"/>
    <row r="2783" ht="11.25" hidden="1"/>
    <row r="2784" ht="11.25" hidden="1"/>
    <row r="2785" ht="11.25" hidden="1"/>
    <row r="2786" ht="11.25" hidden="1"/>
    <row r="2787" ht="11.25" hidden="1"/>
    <row r="2788" ht="11.25" hidden="1"/>
    <row r="2789" ht="11.25" hidden="1"/>
    <row r="2790" ht="11.25" hidden="1"/>
    <row r="2791" ht="11.25" hidden="1"/>
    <row r="2792" ht="11.25" hidden="1"/>
    <row r="2793" ht="11.25" hidden="1"/>
    <row r="2794" ht="11.25" hidden="1"/>
    <row r="2795" ht="11.25" hidden="1"/>
    <row r="2796" ht="11.25" hidden="1"/>
    <row r="2797" ht="11.25" hidden="1"/>
    <row r="2798" ht="11.25" hidden="1"/>
    <row r="2799" ht="11.25" hidden="1"/>
    <row r="2800" ht="11.25" hidden="1"/>
    <row r="2801" ht="11.25" hidden="1"/>
    <row r="2802" ht="11.25" hidden="1"/>
    <row r="2803" ht="11.25" hidden="1"/>
    <row r="2804" ht="11.25" hidden="1"/>
    <row r="2805" ht="11.25" hidden="1"/>
    <row r="2806" ht="11.25" hidden="1"/>
    <row r="2807" ht="11.25" hidden="1"/>
    <row r="2808" ht="11.25" hidden="1"/>
    <row r="2809" ht="11.25" hidden="1"/>
    <row r="2810" ht="11.25" hidden="1"/>
    <row r="2811" ht="11.25" hidden="1"/>
    <row r="2812" ht="11.25" hidden="1"/>
    <row r="2813" ht="11.25" hidden="1"/>
    <row r="2814" ht="11.25" hidden="1"/>
    <row r="2815" ht="11.25" hidden="1"/>
    <row r="2816" ht="11.25" hidden="1"/>
    <row r="2817" ht="11.25" hidden="1"/>
    <row r="2818" ht="11.25" hidden="1"/>
    <row r="2819" ht="11.25" hidden="1"/>
    <row r="2820" ht="11.25" hidden="1"/>
    <row r="2821" ht="11.25" hidden="1"/>
    <row r="2822" ht="11.25" hidden="1"/>
    <row r="2823" ht="11.25" hidden="1"/>
    <row r="2824" ht="11.25" hidden="1"/>
    <row r="2825" ht="11.25" hidden="1"/>
    <row r="2826" ht="11.25" hidden="1"/>
    <row r="2827" ht="11.25" hidden="1"/>
    <row r="2828" ht="11.25" hidden="1"/>
    <row r="2829" ht="11.25" hidden="1"/>
    <row r="2830" ht="11.25" hidden="1"/>
    <row r="2831" ht="11.25" hidden="1"/>
    <row r="2832" ht="11.25" hidden="1"/>
    <row r="2833" ht="11.25" hidden="1"/>
    <row r="2834" ht="11.25" hidden="1"/>
    <row r="2835" ht="11.25" hidden="1"/>
    <row r="2836" ht="11.25" hidden="1"/>
    <row r="2837" ht="11.25" hidden="1"/>
    <row r="2838" ht="11.25" hidden="1"/>
    <row r="2839" ht="11.25" hidden="1"/>
    <row r="2840" ht="11.25" hidden="1"/>
    <row r="2841" ht="11.25" hidden="1"/>
    <row r="2842" ht="11.25" hidden="1"/>
    <row r="2843" ht="11.25" hidden="1"/>
    <row r="2844" ht="11.25" hidden="1"/>
    <row r="2845" ht="11.25" hidden="1"/>
    <row r="2846" ht="11.25" hidden="1"/>
    <row r="2847" ht="11.25" hidden="1"/>
    <row r="2848" ht="11.25" hidden="1"/>
    <row r="2849" ht="11.25" hidden="1"/>
    <row r="2850" ht="11.25" hidden="1"/>
    <row r="2851" ht="11.25" hidden="1"/>
    <row r="2852" ht="11.25" hidden="1"/>
    <row r="2853" ht="11.25" hidden="1"/>
    <row r="2854" ht="11.25" hidden="1"/>
    <row r="2855" ht="11.25" hidden="1"/>
    <row r="2856" ht="11.25" hidden="1"/>
    <row r="2857" ht="11.25" hidden="1"/>
    <row r="2858" ht="11.25" hidden="1"/>
    <row r="2859" ht="11.25" hidden="1"/>
    <row r="2860" ht="11.25" hidden="1"/>
    <row r="2861" ht="11.25" hidden="1"/>
    <row r="2862" ht="11.25" hidden="1"/>
    <row r="2863" ht="11.25" hidden="1"/>
    <row r="2864" ht="11.25" hidden="1"/>
    <row r="2865" ht="11.25" hidden="1"/>
    <row r="2866" ht="11.25" hidden="1"/>
    <row r="2867" ht="11.25" hidden="1"/>
    <row r="2868" ht="11.25" hidden="1"/>
    <row r="2869" ht="11.25" hidden="1"/>
    <row r="2870" ht="11.25" hidden="1"/>
    <row r="2871" ht="11.25" hidden="1"/>
    <row r="2872" ht="11.25" hidden="1"/>
    <row r="2873" ht="11.25" hidden="1"/>
    <row r="2874" ht="11.25" hidden="1"/>
    <row r="2875" ht="11.25" hidden="1"/>
    <row r="2876" ht="11.25" hidden="1"/>
    <row r="2877" ht="11.25" hidden="1"/>
    <row r="2878" ht="11.25" hidden="1"/>
    <row r="2879" ht="11.25" hidden="1"/>
    <row r="2880" ht="11.25" hidden="1"/>
    <row r="2881" ht="11.25" hidden="1"/>
    <row r="2882" ht="11.25" hidden="1"/>
    <row r="2883" ht="11.25" hidden="1"/>
    <row r="2884" ht="11.25" hidden="1"/>
    <row r="2885" ht="11.25" hidden="1"/>
    <row r="2886" ht="11.25" hidden="1"/>
    <row r="2887" ht="11.25" hidden="1"/>
    <row r="2888" ht="11.25" hidden="1"/>
    <row r="2889" ht="11.25" hidden="1"/>
    <row r="2890" ht="11.25" hidden="1"/>
    <row r="2891" ht="11.25" hidden="1"/>
    <row r="2892" ht="11.25" hidden="1"/>
    <row r="2893" ht="11.25" hidden="1"/>
    <row r="2894" ht="11.25" hidden="1"/>
    <row r="2895" ht="11.25" hidden="1"/>
    <row r="2896" ht="11.25" hidden="1"/>
    <row r="2897" ht="11.25" hidden="1"/>
    <row r="2898" ht="11.25" hidden="1"/>
    <row r="2899" ht="11.25" hidden="1"/>
    <row r="2900" ht="11.25" hidden="1"/>
    <row r="2901" ht="11.25" hidden="1"/>
    <row r="2902" ht="11.25" hidden="1"/>
    <row r="2903" ht="11.25" hidden="1"/>
    <row r="2904" ht="11.25" hidden="1"/>
    <row r="2905" ht="11.25" hidden="1"/>
    <row r="2906" ht="11.25" hidden="1"/>
    <row r="2907" ht="11.25" hidden="1"/>
    <row r="2908" ht="11.25" hidden="1"/>
    <row r="2909" ht="11.25" hidden="1"/>
    <row r="2910" ht="11.25" hidden="1"/>
    <row r="2911" ht="11.25" hidden="1"/>
    <row r="2912" ht="11.25" hidden="1"/>
    <row r="2913" ht="11.25" hidden="1"/>
    <row r="2914" ht="11.25" hidden="1"/>
    <row r="2915" ht="11.25" hidden="1"/>
    <row r="2916" ht="11.25" hidden="1"/>
    <row r="2917" ht="11.25" hidden="1"/>
    <row r="2918" ht="11.25" hidden="1"/>
    <row r="2919" ht="11.25" hidden="1"/>
    <row r="2920" ht="11.25" hidden="1"/>
    <row r="2921" ht="11.25" hidden="1"/>
    <row r="2922" ht="11.25" hidden="1"/>
    <row r="2923" ht="11.25" hidden="1"/>
    <row r="2924" ht="11.25" hidden="1"/>
    <row r="2925" ht="11.25" hidden="1"/>
    <row r="2926" ht="11.25" hidden="1"/>
    <row r="2927" ht="11.25" hidden="1"/>
    <row r="2928" ht="11.25" hidden="1"/>
    <row r="2929" ht="11.25" hidden="1"/>
    <row r="2930" ht="11.25" hidden="1"/>
    <row r="2931" ht="11.25" hidden="1"/>
    <row r="2932" ht="11.25" hidden="1"/>
    <row r="2933" ht="11.25" hidden="1"/>
    <row r="2934" ht="11.25" hidden="1"/>
    <row r="2935" ht="11.25" hidden="1"/>
    <row r="2936" ht="11.25" hidden="1"/>
    <row r="2937" ht="11.25" hidden="1"/>
    <row r="2938" ht="11.25" hidden="1"/>
    <row r="2939" ht="11.25" hidden="1"/>
    <row r="2940" ht="11.25" hidden="1"/>
    <row r="2941" ht="11.25" hidden="1"/>
    <row r="2942" ht="11.25" hidden="1"/>
    <row r="2943" ht="11.25" hidden="1"/>
    <row r="2944" ht="11.25" hidden="1"/>
    <row r="2945" ht="11.25" hidden="1"/>
    <row r="2946" ht="11.25" hidden="1"/>
    <row r="2947" ht="11.25" hidden="1"/>
    <row r="2948" ht="11.25" hidden="1"/>
    <row r="2949" ht="11.25" hidden="1"/>
    <row r="2950" ht="11.25" hidden="1"/>
    <row r="2951" ht="11.25" hidden="1"/>
    <row r="2952" ht="11.25" hidden="1"/>
    <row r="2953" ht="11.25" hidden="1"/>
    <row r="2954" ht="11.25" hidden="1"/>
    <row r="2955" ht="11.25" hidden="1"/>
    <row r="2956" ht="11.25" hidden="1"/>
    <row r="2957" ht="11.25" hidden="1"/>
    <row r="2958" ht="11.25" hidden="1"/>
    <row r="2959" ht="11.25" hidden="1"/>
    <row r="2960" ht="11.25" hidden="1"/>
    <row r="2961" ht="11.25" hidden="1"/>
    <row r="2962" ht="11.25" hidden="1"/>
    <row r="2963" ht="11.25" hidden="1"/>
    <row r="2964" ht="11.25" hidden="1"/>
    <row r="2965" ht="11.25" hidden="1"/>
    <row r="2966" ht="11.25" hidden="1"/>
    <row r="2967" ht="11.25" hidden="1"/>
    <row r="2968" ht="11.25" hidden="1"/>
    <row r="2969" ht="11.25" hidden="1"/>
    <row r="2970" ht="11.25" hidden="1"/>
    <row r="2971" ht="11.25" hidden="1"/>
    <row r="2972" ht="11.25" hidden="1"/>
    <row r="2973" ht="11.25" hidden="1"/>
    <row r="2974" ht="11.25" hidden="1"/>
    <row r="2975" ht="11.25" hidden="1"/>
    <row r="2976" ht="11.25" hidden="1"/>
    <row r="2977" ht="11.25" hidden="1"/>
    <row r="2978" ht="11.25" hidden="1"/>
    <row r="2979" ht="11.25" hidden="1"/>
    <row r="2980" ht="11.25" hidden="1"/>
    <row r="2981" ht="11.25" hidden="1"/>
    <row r="2982" ht="11.25" hidden="1"/>
    <row r="2983" ht="11.25" hidden="1"/>
    <row r="2984" ht="11.25" hidden="1"/>
    <row r="2985" ht="11.25" hidden="1"/>
    <row r="2986" ht="11.25" hidden="1"/>
    <row r="2987" ht="11.25" hidden="1"/>
    <row r="2988" ht="11.25" hidden="1"/>
    <row r="2989" ht="11.25" hidden="1"/>
    <row r="2990" ht="11.25" hidden="1"/>
    <row r="2991" ht="11.25" hidden="1"/>
    <row r="2992" ht="11.25" hidden="1"/>
    <row r="2993" ht="11.25" hidden="1"/>
    <row r="2994" ht="11.25" hidden="1"/>
    <row r="2995" ht="11.25" hidden="1"/>
    <row r="2996" ht="11.25" hidden="1"/>
    <row r="2997" ht="11.25" hidden="1"/>
    <row r="2998" ht="11.25" hidden="1"/>
    <row r="2999" ht="11.25" hidden="1"/>
    <row r="3000" ht="11.25" hidden="1"/>
    <row r="3001" ht="11.25" hidden="1"/>
    <row r="3002" ht="11.25" hidden="1"/>
    <row r="3003" ht="11.25" hidden="1"/>
    <row r="3004" ht="11.25" hidden="1"/>
    <row r="3005" ht="11.25" hidden="1"/>
    <row r="3006" ht="11.25" hidden="1"/>
    <row r="3007" ht="11.25" hidden="1"/>
    <row r="3008" ht="11.25" hidden="1"/>
    <row r="3009" ht="11.25" hidden="1"/>
    <row r="3010" ht="11.25" hidden="1"/>
    <row r="3011" ht="11.25" hidden="1"/>
    <row r="3012" ht="11.25" hidden="1"/>
    <row r="3013" ht="11.25" hidden="1"/>
    <row r="3014" ht="11.25" hidden="1"/>
    <row r="3015" ht="11.25" hidden="1"/>
    <row r="3016" ht="11.25" hidden="1"/>
    <row r="3017" ht="11.25" hidden="1"/>
    <row r="3018" ht="11.25" hidden="1"/>
    <row r="3019" ht="11.25" hidden="1"/>
    <row r="3020" ht="11.25" hidden="1"/>
    <row r="3021" ht="11.25" hidden="1"/>
    <row r="3022" ht="11.25" hidden="1"/>
    <row r="3023" ht="11.25" hidden="1"/>
    <row r="3024" ht="11.25" hidden="1"/>
    <row r="3025" ht="11.25" hidden="1"/>
    <row r="3026" ht="11.25" hidden="1"/>
    <row r="3027" ht="11.25" hidden="1"/>
    <row r="3028" ht="11.25" hidden="1"/>
    <row r="3029" ht="11.25" hidden="1"/>
    <row r="3030" ht="11.25" hidden="1"/>
    <row r="3031" ht="11.25" hidden="1"/>
    <row r="3032" ht="11.25" hidden="1"/>
    <row r="3033" ht="11.25" hidden="1"/>
    <row r="3034" ht="11.25" hidden="1"/>
    <row r="3035" ht="11.25" hidden="1"/>
    <row r="3036" ht="11.25" hidden="1"/>
    <row r="3037" ht="11.25" hidden="1"/>
    <row r="3038" ht="11.25" hidden="1"/>
    <row r="3039" ht="11.25" hidden="1"/>
    <row r="3040" ht="11.25" hidden="1"/>
    <row r="3041" ht="11.25" hidden="1"/>
    <row r="3042" ht="11.25" hidden="1"/>
    <row r="3043" ht="11.25" hidden="1"/>
    <row r="3044" ht="11.25" hidden="1"/>
    <row r="3045" ht="11.25" hidden="1"/>
    <row r="3046" ht="11.25" hidden="1"/>
    <row r="3047" ht="11.25" hidden="1"/>
    <row r="3048" ht="11.25" hidden="1"/>
    <row r="3049" ht="11.25" hidden="1"/>
    <row r="3050" ht="11.25" hidden="1"/>
    <row r="3051" ht="11.25" hidden="1"/>
    <row r="3052" ht="11.25" hidden="1"/>
    <row r="3053" ht="11.25" hidden="1"/>
    <row r="3054" ht="11.25" hidden="1"/>
    <row r="3055" ht="11.25" hidden="1"/>
    <row r="3056" ht="11.25" hidden="1"/>
    <row r="3057" ht="11.25" hidden="1"/>
    <row r="3058" ht="11.25" hidden="1"/>
    <row r="3059" ht="11.25" hidden="1"/>
    <row r="3060" ht="11.25" hidden="1"/>
    <row r="3061" ht="11.25" hidden="1"/>
    <row r="3062" ht="11.25" hidden="1"/>
    <row r="3063" ht="11.25" hidden="1"/>
    <row r="3064" ht="11.25" hidden="1"/>
    <row r="3065" ht="11.25" hidden="1"/>
    <row r="3066" ht="11.25" hidden="1"/>
    <row r="3067" ht="11.25" hidden="1"/>
    <row r="3068" ht="11.25" hidden="1"/>
    <row r="3069" ht="11.25" hidden="1"/>
    <row r="3070" ht="11.25" hidden="1"/>
    <row r="3071" ht="11.25" hidden="1"/>
    <row r="3072" ht="11.25" hidden="1"/>
    <row r="3073" ht="11.25" hidden="1"/>
    <row r="3074" ht="11.25" hidden="1"/>
    <row r="3075" ht="11.25" hidden="1"/>
    <row r="3076" ht="11.25" hidden="1"/>
    <row r="3077" ht="11.25" hidden="1"/>
    <row r="3078" ht="11.25" hidden="1"/>
    <row r="3079" ht="11.25" hidden="1"/>
    <row r="3080" ht="11.25" hidden="1"/>
    <row r="3081" ht="11.25" hidden="1"/>
    <row r="3082" ht="11.25" hidden="1"/>
    <row r="3083" ht="11.25" hidden="1"/>
    <row r="3084" ht="11.25" hidden="1"/>
    <row r="3085" ht="11.25" hidden="1"/>
    <row r="3086" ht="11.25" hidden="1"/>
    <row r="3087" ht="11.25" hidden="1"/>
    <row r="3088" ht="11.25" hidden="1"/>
    <row r="3089" ht="11.25" hidden="1"/>
    <row r="3090" ht="11.25" hidden="1"/>
    <row r="3091" ht="11.25" hidden="1"/>
    <row r="3092" ht="11.25" hidden="1"/>
    <row r="3093" ht="11.25" hidden="1"/>
    <row r="3094" ht="11.25" hidden="1"/>
    <row r="3095" ht="11.25" hidden="1"/>
    <row r="3096" ht="11.25" hidden="1"/>
    <row r="3097" ht="11.25" hidden="1"/>
    <row r="3098" ht="11.25" hidden="1"/>
    <row r="3099" ht="11.25" hidden="1"/>
    <row r="3100" ht="11.25" hidden="1"/>
    <row r="3101" ht="11.25" hidden="1"/>
    <row r="3102" ht="11.25" hidden="1"/>
    <row r="3103" ht="11.25" hidden="1"/>
    <row r="3104" ht="11.25" hidden="1"/>
    <row r="3105" ht="11.25" hidden="1"/>
    <row r="3106" ht="11.25" hidden="1"/>
    <row r="3107" ht="11.25" hidden="1"/>
    <row r="3108" ht="11.25" hidden="1"/>
    <row r="3109" ht="11.25" hidden="1"/>
    <row r="3110" ht="11.25" hidden="1"/>
    <row r="3111" ht="11.25" hidden="1"/>
    <row r="3112" ht="11.25" hidden="1"/>
    <row r="3113" ht="11.25" hidden="1"/>
    <row r="3114" ht="11.25" hidden="1"/>
    <row r="3115" ht="11.25" hidden="1"/>
    <row r="3116" ht="11.25" hidden="1"/>
    <row r="3117" ht="11.25" hidden="1"/>
    <row r="3118" ht="11.25" hidden="1"/>
    <row r="3119" ht="11.25" hidden="1"/>
    <row r="3120" ht="11.25" hidden="1"/>
    <row r="3121" ht="11.25" hidden="1"/>
    <row r="3122" ht="11.25" hidden="1"/>
    <row r="3123" ht="11.25" hidden="1"/>
    <row r="3124" ht="11.25" hidden="1"/>
    <row r="3125" ht="11.25" hidden="1"/>
    <row r="3126" ht="11.25" hidden="1"/>
    <row r="3127" ht="11.25" hidden="1"/>
    <row r="3128" ht="11.25" hidden="1"/>
    <row r="3129" ht="11.25" hidden="1"/>
    <row r="3130" ht="11.25" hidden="1"/>
    <row r="3131" ht="11.25" hidden="1"/>
    <row r="3132" ht="11.25" hidden="1"/>
    <row r="3133" ht="11.25" hidden="1"/>
    <row r="3134" ht="11.25" hidden="1"/>
    <row r="3135" ht="11.25" hidden="1"/>
    <row r="3136" ht="11.25" hidden="1"/>
    <row r="3137" ht="11.25" hidden="1"/>
    <row r="3138" ht="11.25" hidden="1"/>
    <row r="3139" ht="11.25" hidden="1"/>
    <row r="3140" ht="11.25" hidden="1"/>
    <row r="3141" ht="11.25" hidden="1"/>
    <row r="3142" ht="11.25" hidden="1"/>
    <row r="3143" ht="11.25" hidden="1"/>
    <row r="3144" ht="11.25" hidden="1"/>
    <row r="3145" ht="11.25" hidden="1"/>
    <row r="3146" ht="11.25" hidden="1"/>
    <row r="3147" ht="11.25" hidden="1"/>
    <row r="3148" ht="11.25" hidden="1"/>
    <row r="3149" ht="11.25" hidden="1"/>
    <row r="3150" ht="11.25" hidden="1"/>
    <row r="3151" ht="11.25" hidden="1"/>
    <row r="3152" ht="11.25" hidden="1"/>
    <row r="3153" ht="11.25" hidden="1"/>
    <row r="3154" ht="11.25" hidden="1"/>
    <row r="3155" ht="11.25" hidden="1"/>
    <row r="3156" ht="11.25" hidden="1"/>
    <row r="3157" ht="11.25" hidden="1"/>
    <row r="3158" ht="11.25" hidden="1"/>
    <row r="3159" ht="11.25" hidden="1"/>
    <row r="3160" ht="11.25" hidden="1"/>
    <row r="3161" ht="11.25" hidden="1"/>
    <row r="3162" ht="11.25" hidden="1"/>
    <row r="3163" ht="11.25" hidden="1"/>
    <row r="3164" ht="11.25" hidden="1"/>
    <row r="3165" ht="11.25" hidden="1"/>
    <row r="3166" ht="11.25" hidden="1"/>
    <row r="3167" ht="11.25" hidden="1"/>
    <row r="3168" ht="11.25" hidden="1"/>
    <row r="3169" ht="11.25" hidden="1"/>
    <row r="3170" ht="11.25" hidden="1"/>
    <row r="3171" ht="11.25" hidden="1"/>
    <row r="3172" ht="11.25" hidden="1"/>
    <row r="3173" ht="11.25" hidden="1"/>
    <row r="3174" ht="11.25" hidden="1"/>
    <row r="3175" ht="11.25" hidden="1"/>
    <row r="3176" ht="11.25" hidden="1"/>
    <row r="3177" ht="11.25" hidden="1"/>
    <row r="3178" ht="11.25" hidden="1"/>
    <row r="3179" ht="11.25" hidden="1"/>
    <row r="3180" ht="11.25" hidden="1"/>
    <row r="3181" ht="11.25" hidden="1"/>
    <row r="3182" ht="11.25" hidden="1"/>
    <row r="3183" ht="11.25" hidden="1"/>
    <row r="3184" ht="11.25" hidden="1"/>
    <row r="3185" ht="11.25" hidden="1"/>
    <row r="3186" ht="11.25" hidden="1"/>
    <row r="3187" ht="11.25" hidden="1"/>
    <row r="3188" ht="11.25" hidden="1"/>
    <row r="3189" ht="11.25" hidden="1"/>
    <row r="3190" ht="11.25" hidden="1"/>
    <row r="3191" ht="11.25" hidden="1"/>
    <row r="3192" ht="11.25" hidden="1"/>
    <row r="3193" ht="11.25" hidden="1"/>
    <row r="3194" ht="11.25" hidden="1"/>
    <row r="3195" ht="11.25" hidden="1"/>
    <row r="3196" ht="11.25" hidden="1"/>
    <row r="3197" ht="11.25" hidden="1"/>
    <row r="3198" ht="11.25" hidden="1"/>
    <row r="3199" ht="11.25" hidden="1"/>
    <row r="3200" ht="11.25" hidden="1"/>
    <row r="3201" ht="11.25" hidden="1"/>
    <row r="3202" ht="11.25" hidden="1"/>
    <row r="3203" ht="11.25" hidden="1"/>
    <row r="3204" ht="11.25" hidden="1"/>
    <row r="3205" ht="11.25" hidden="1"/>
    <row r="3206" ht="11.25" hidden="1"/>
    <row r="3207" ht="11.25" hidden="1"/>
    <row r="3208" ht="11.25" hidden="1"/>
    <row r="3209" ht="11.25" hidden="1"/>
    <row r="3210" ht="11.25" hidden="1"/>
    <row r="3211" ht="11.25" hidden="1"/>
    <row r="3212" ht="11.25" hidden="1"/>
    <row r="3213" ht="11.25" hidden="1"/>
    <row r="3214" ht="11.25" hidden="1"/>
    <row r="3215" ht="11.25" hidden="1"/>
    <row r="3216" ht="11.25" hidden="1"/>
    <row r="3217" ht="11.25" hidden="1"/>
    <row r="3218" ht="11.25" hidden="1"/>
    <row r="3219" ht="11.25" hidden="1"/>
    <row r="3220" ht="11.25" hidden="1"/>
    <row r="3221" ht="11.25" hidden="1"/>
    <row r="3222" ht="11.25" hidden="1"/>
    <row r="3223" ht="11.25" hidden="1"/>
    <row r="3224" ht="11.25" hidden="1"/>
    <row r="3225" ht="11.25" hidden="1"/>
    <row r="3226" ht="11.25" hidden="1"/>
    <row r="3227" ht="11.25" hidden="1"/>
    <row r="3228" ht="11.25" hidden="1"/>
    <row r="3229" ht="11.25" hidden="1"/>
    <row r="3230" ht="11.25" hidden="1"/>
    <row r="3231" ht="11.25" hidden="1"/>
    <row r="3232" ht="11.25" hidden="1"/>
    <row r="3233" ht="11.25" hidden="1"/>
    <row r="3234" ht="11.25" hidden="1"/>
    <row r="3235" ht="11.25" hidden="1"/>
    <row r="3236" ht="11.25" hidden="1"/>
    <row r="3237" ht="11.25" hidden="1"/>
    <row r="3238" ht="11.25" hidden="1"/>
    <row r="3239" ht="11.25" hidden="1"/>
    <row r="3240" ht="11.25" hidden="1"/>
    <row r="3241" ht="11.25" hidden="1"/>
    <row r="3242" ht="11.25" hidden="1"/>
    <row r="3243" ht="11.25" hidden="1"/>
    <row r="3244" ht="11.25" hidden="1"/>
    <row r="3245" ht="11.25" hidden="1"/>
    <row r="3246" ht="11.25" hidden="1"/>
    <row r="3247" ht="11.25" hidden="1"/>
    <row r="3248" ht="11.25" hidden="1"/>
    <row r="3249" ht="11.25" hidden="1"/>
    <row r="3250" ht="11.25" hidden="1"/>
    <row r="3251" ht="11.25" hidden="1"/>
    <row r="3252" ht="11.25" hidden="1"/>
    <row r="3253" ht="11.25" hidden="1"/>
    <row r="3254" ht="11.25" hidden="1"/>
    <row r="3255" ht="11.25" hidden="1"/>
    <row r="3256" ht="11.25" hidden="1"/>
    <row r="3257" ht="11.25" hidden="1"/>
    <row r="3258" ht="11.25" hidden="1"/>
    <row r="3259" ht="11.25" hidden="1"/>
    <row r="3260" ht="11.25" hidden="1"/>
    <row r="3261" ht="11.25" hidden="1"/>
    <row r="3262" ht="11.25" hidden="1"/>
    <row r="3263" ht="11.25" hidden="1"/>
    <row r="3264" ht="11.25" hidden="1"/>
    <row r="3265" ht="11.25" hidden="1"/>
    <row r="3266" ht="11.25" hidden="1"/>
    <row r="3267" ht="11.25" hidden="1"/>
    <row r="3268" ht="11.25" hidden="1"/>
    <row r="3269" ht="11.25" hidden="1"/>
    <row r="3270" ht="11.25" hidden="1"/>
    <row r="3271" ht="11.25" hidden="1"/>
    <row r="3272" ht="11.25" hidden="1"/>
    <row r="3273" ht="11.25" hidden="1"/>
    <row r="3274" ht="11.25" hidden="1"/>
    <row r="3275" ht="11.25" hidden="1"/>
    <row r="3276" ht="11.25" hidden="1"/>
    <row r="3277" ht="11.25" hidden="1"/>
    <row r="3278" ht="11.25" hidden="1"/>
    <row r="3279" ht="11.25" hidden="1"/>
    <row r="3280" ht="11.25" hidden="1"/>
    <row r="3281" ht="11.25" hidden="1"/>
    <row r="3282" ht="11.25" hidden="1"/>
    <row r="3283" ht="11.25" hidden="1"/>
    <row r="3284" ht="11.25" hidden="1"/>
    <row r="3285" ht="11.25" hidden="1"/>
    <row r="3286" ht="11.25" hidden="1"/>
    <row r="3287" ht="11.25" hidden="1"/>
    <row r="3288" ht="11.25" hidden="1"/>
    <row r="3289" ht="11.25" hidden="1"/>
    <row r="3290" ht="11.25" hidden="1"/>
    <row r="3291" ht="11.25" hidden="1"/>
    <row r="3292" ht="11.25" hidden="1"/>
    <row r="3293" ht="11.25" hidden="1"/>
    <row r="3294" ht="11.25" hidden="1"/>
    <row r="3295" ht="11.25" hidden="1"/>
    <row r="3296" ht="11.25" hidden="1"/>
    <row r="3297" ht="11.25" hidden="1"/>
    <row r="3298" ht="11.25" hidden="1"/>
    <row r="3299" ht="11.25" hidden="1"/>
    <row r="3300" ht="11.25" hidden="1"/>
    <row r="3301" ht="11.25" hidden="1"/>
    <row r="3302" ht="11.25" hidden="1"/>
    <row r="3303" ht="11.25" hidden="1"/>
    <row r="3304" ht="11.25" hidden="1"/>
    <row r="3305" ht="11.25" hidden="1"/>
    <row r="3306" ht="11.25" hidden="1"/>
    <row r="3307" ht="11.25" hidden="1"/>
    <row r="3308" ht="11.25" hidden="1"/>
    <row r="3309" ht="11.25" hidden="1"/>
    <row r="3310" ht="11.25" hidden="1"/>
    <row r="3311" ht="11.25" hidden="1"/>
    <row r="3312" ht="11.25" hidden="1"/>
    <row r="3313" ht="11.25" hidden="1"/>
    <row r="3314" ht="11.25" hidden="1"/>
    <row r="3315" ht="11.25" hidden="1"/>
    <row r="3316" ht="11.25" hidden="1"/>
    <row r="3317" ht="11.25" hidden="1"/>
    <row r="3318" ht="11.25" hidden="1"/>
    <row r="3319" ht="11.25" hidden="1"/>
    <row r="3320" ht="11.25" hidden="1"/>
    <row r="3321" ht="11.25" hidden="1"/>
    <row r="3322" ht="11.25" hidden="1"/>
    <row r="3323" ht="11.25" hidden="1"/>
    <row r="3324" ht="11.25" hidden="1"/>
    <row r="3325" ht="11.25" hidden="1"/>
    <row r="3326" ht="11.25" hidden="1"/>
    <row r="3327" ht="11.25" hidden="1"/>
    <row r="3328" ht="11.25" hidden="1"/>
    <row r="3329" ht="11.25" hidden="1"/>
    <row r="3330" ht="11.25" hidden="1"/>
    <row r="3331" ht="11.25" hidden="1"/>
    <row r="3332" ht="11.25" hidden="1"/>
    <row r="3333" ht="11.25" hidden="1"/>
    <row r="3334" ht="11.25" hidden="1"/>
    <row r="3335" ht="11.25" hidden="1"/>
    <row r="3336" ht="11.25" hidden="1"/>
    <row r="3337" ht="11.25" hidden="1"/>
    <row r="3338" ht="11.25" hidden="1"/>
    <row r="3339" ht="11.25" hidden="1"/>
    <row r="3340" ht="11.25" hidden="1"/>
    <row r="3341" ht="11.25" hidden="1"/>
    <row r="3342" ht="11.25" hidden="1"/>
    <row r="3343" ht="11.25" hidden="1"/>
    <row r="3344" ht="11.25" hidden="1"/>
    <row r="3345" ht="11.25" hidden="1"/>
    <row r="3346" ht="11.25" hidden="1"/>
    <row r="3347" ht="11.25" hidden="1"/>
    <row r="3348" ht="11.25" hidden="1"/>
    <row r="3349" ht="11.25" hidden="1"/>
    <row r="3350" ht="11.25" hidden="1"/>
    <row r="3351" ht="11.25" hidden="1"/>
    <row r="3352" ht="11.25" hidden="1"/>
    <row r="3353" ht="11.25" hidden="1"/>
    <row r="3354" ht="11.25" hidden="1"/>
    <row r="3355" ht="11.25" hidden="1"/>
    <row r="3356" ht="11.25" hidden="1"/>
    <row r="3357" ht="11.25" hidden="1"/>
    <row r="3358" ht="11.25" hidden="1"/>
    <row r="3359" ht="11.25" hidden="1"/>
    <row r="3360" ht="11.25" hidden="1"/>
    <row r="3361" ht="11.25" hidden="1"/>
    <row r="3362" ht="11.25" hidden="1"/>
    <row r="3363" ht="11.25" hidden="1"/>
    <row r="3364" ht="11.25" hidden="1"/>
    <row r="3365" ht="11.25" hidden="1"/>
    <row r="3366" ht="11.25" hidden="1"/>
    <row r="3367" ht="11.25" hidden="1"/>
    <row r="3368" ht="11.25" hidden="1"/>
    <row r="3369" ht="11.25" hidden="1"/>
    <row r="3370" ht="11.25" hidden="1"/>
    <row r="3371" ht="11.25" hidden="1"/>
    <row r="3372" ht="11.25" hidden="1"/>
    <row r="3373" ht="11.25" hidden="1"/>
    <row r="3374" ht="11.25" hidden="1"/>
    <row r="3375" ht="11.25" hidden="1"/>
    <row r="3376" ht="11.25" hidden="1"/>
    <row r="3377" ht="11.25" hidden="1"/>
    <row r="3378" ht="11.25" hidden="1"/>
    <row r="3379" ht="11.25" hidden="1"/>
    <row r="3380" ht="11.25" hidden="1"/>
    <row r="3381" ht="11.25" hidden="1"/>
    <row r="3382" ht="11.25" hidden="1"/>
    <row r="3383" ht="11.25" hidden="1"/>
    <row r="3384" ht="11.25" hidden="1"/>
    <row r="3385" ht="11.25" hidden="1"/>
    <row r="3386" ht="11.25" hidden="1"/>
    <row r="3387" ht="11.25" hidden="1"/>
    <row r="3388" ht="11.25" hidden="1"/>
    <row r="3389" ht="11.25" hidden="1"/>
    <row r="3390" ht="11.25" hidden="1"/>
    <row r="3391" ht="11.25" hidden="1"/>
    <row r="3392" ht="11.25" hidden="1"/>
    <row r="3393" ht="11.25" hidden="1"/>
    <row r="3394" ht="11.25" hidden="1"/>
    <row r="3395" ht="11.25" hidden="1"/>
    <row r="3396" ht="11.25" hidden="1"/>
    <row r="3397" ht="11.25" hidden="1"/>
    <row r="3398" ht="11.25" hidden="1"/>
    <row r="3399" ht="11.25" hidden="1"/>
    <row r="3400" ht="11.25" hidden="1"/>
    <row r="3401" ht="11.25" hidden="1"/>
    <row r="3402" ht="11.25" hidden="1"/>
    <row r="3403" ht="11.25" hidden="1"/>
    <row r="3404" ht="11.25" hidden="1"/>
    <row r="3405" ht="11.25" hidden="1"/>
    <row r="3406" ht="11.25" hidden="1"/>
    <row r="3407" ht="11.25" hidden="1"/>
    <row r="3408" ht="11.25" hidden="1"/>
    <row r="3409" ht="11.25" hidden="1"/>
    <row r="3410" ht="11.25" hidden="1"/>
    <row r="3411" ht="11.25" hidden="1"/>
    <row r="3412" ht="11.25" hidden="1"/>
    <row r="3413" ht="11.25" hidden="1"/>
    <row r="3414" ht="11.25" hidden="1"/>
    <row r="3415" ht="11.25" hidden="1"/>
    <row r="3416" ht="11.25" hidden="1"/>
    <row r="3417" ht="11.25" hidden="1"/>
    <row r="3418" ht="11.25" hidden="1"/>
    <row r="3419" ht="11.25" hidden="1"/>
    <row r="3420" ht="11.25" hidden="1"/>
    <row r="3421" ht="11.25" hidden="1"/>
    <row r="3422" ht="11.25" hidden="1"/>
    <row r="3423" ht="11.25" hidden="1"/>
    <row r="3424" ht="11.25" hidden="1"/>
    <row r="3425" ht="11.25" hidden="1"/>
    <row r="3426" ht="11.25" hidden="1"/>
    <row r="3427" ht="11.25" hidden="1"/>
    <row r="3428" ht="11.25" hidden="1"/>
    <row r="3429" ht="11.25" hidden="1"/>
    <row r="3430" ht="11.25" hidden="1"/>
    <row r="3431" ht="11.25" hidden="1"/>
    <row r="3432" ht="11.25" hidden="1"/>
    <row r="3433" ht="11.25" hidden="1"/>
    <row r="3434" ht="11.25" hidden="1"/>
    <row r="3435" ht="11.25" hidden="1"/>
    <row r="3436" ht="11.25" hidden="1"/>
    <row r="3437" ht="11.25" hidden="1"/>
    <row r="3438" ht="11.25" hidden="1"/>
    <row r="3439" ht="11.25" hidden="1"/>
    <row r="3440" ht="11.25" hidden="1"/>
    <row r="3441" ht="11.25" hidden="1"/>
    <row r="3442" ht="11.25" hidden="1"/>
    <row r="3443" ht="11.25" hidden="1"/>
    <row r="3444" ht="11.25" hidden="1"/>
    <row r="3445" ht="11.25" hidden="1"/>
    <row r="3446" ht="11.25" hidden="1"/>
    <row r="3447" ht="11.25" hidden="1"/>
    <row r="3448" ht="11.25" hidden="1"/>
    <row r="3449" ht="11.25" hidden="1"/>
    <row r="3450" ht="11.25" hidden="1"/>
    <row r="3451" ht="11.25" hidden="1"/>
    <row r="3452" ht="11.25" hidden="1"/>
    <row r="3453" ht="11.25" hidden="1"/>
    <row r="3454" ht="11.25" hidden="1"/>
    <row r="3455" ht="11.25" hidden="1"/>
    <row r="3456" ht="11.25" hidden="1"/>
    <row r="3457" ht="11.25" hidden="1"/>
    <row r="3458" ht="11.25" hidden="1"/>
    <row r="3459" ht="11.25" hidden="1"/>
    <row r="3460" ht="11.25" hidden="1"/>
    <row r="3461" ht="11.25" hidden="1"/>
    <row r="3462" ht="11.25" hidden="1"/>
    <row r="3463" ht="11.25" hidden="1"/>
    <row r="3464" ht="11.25" hidden="1"/>
    <row r="3465" ht="11.25" hidden="1"/>
    <row r="3466" ht="11.25" hidden="1"/>
    <row r="3467" ht="11.25" hidden="1"/>
    <row r="3468" ht="11.25" hidden="1"/>
    <row r="3469" ht="11.25" hidden="1"/>
    <row r="3470" ht="11.25" hidden="1"/>
    <row r="3471" ht="11.25" hidden="1"/>
    <row r="3472" ht="11.25" hidden="1"/>
    <row r="3473" ht="11.25" hidden="1"/>
    <row r="3474" ht="11.25" hidden="1"/>
    <row r="3475" ht="11.25" hidden="1"/>
    <row r="3476" ht="11.25" hidden="1"/>
    <row r="3477" ht="11.25" hidden="1"/>
    <row r="3478" ht="11.25" hidden="1"/>
    <row r="3479" ht="11.25" hidden="1"/>
    <row r="3480" ht="11.25" hidden="1"/>
    <row r="3481" ht="11.25" hidden="1"/>
    <row r="3482" ht="11.25" hidden="1"/>
    <row r="3483" ht="11.25" hidden="1"/>
    <row r="3484" ht="11.25" hidden="1"/>
    <row r="3485" ht="11.25" hidden="1"/>
    <row r="3486" ht="11.25" hidden="1"/>
    <row r="3487" ht="11.25" hidden="1"/>
    <row r="3488" ht="11.25" hidden="1"/>
    <row r="3489" ht="11.25" hidden="1"/>
    <row r="3490" ht="11.25" hidden="1"/>
    <row r="3491" ht="11.25" hidden="1"/>
    <row r="3492" ht="11.25" hidden="1"/>
    <row r="3493" ht="11.25" hidden="1"/>
    <row r="3494" ht="11.25" hidden="1"/>
    <row r="3495" ht="11.25" hidden="1"/>
    <row r="3496" ht="11.25" hidden="1"/>
    <row r="3497" ht="11.25" hidden="1"/>
    <row r="3498" ht="11.25" hidden="1"/>
    <row r="3499" ht="11.25" hidden="1"/>
    <row r="3500" ht="11.25" hidden="1"/>
    <row r="3501" ht="11.25" hidden="1"/>
    <row r="3502" ht="11.25" hidden="1"/>
    <row r="3503" ht="11.25" hidden="1"/>
    <row r="3504" ht="11.25" hidden="1"/>
    <row r="3505" ht="11.25" hidden="1"/>
    <row r="3506" ht="11.25" hidden="1"/>
    <row r="3507" ht="11.25" hidden="1"/>
    <row r="3508" ht="11.25" hidden="1"/>
    <row r="3509" ht="11.25" hidden="1"/>
    <row r="3510" ht="11.25" hidden="1"/>
    <row r="3511" ht="11.25" hidden="1"/>
    <row r="3512" ht="11.25" hidden="1"/>
    <row r="3513" ht="11.25" hidden="1"/>
    <row r="3514" ht="11.25" hidden="1"/>
    <row r="3515" ht="11.25" hidden="1"/>
    <row r="3516" ht="11.25" hidden="1"/>
    <row r="3517" ht="11.25" hidden="1"/>
    <row r="3518" ht="11.25" hidden="1"/>
    <row r="3519" ht="11.25" hidden="1"/>
    <row r="3520" ht="11.25" hidden="1"/>
    <row r="3521" ht="11.25" hidden="1"/>
    <row r="3522" ht="11.25" hidden="1"/>
    <row r="3523" ht="11.25" hidden="1"/>
    <row r="3524" ht="11.25" hidden="1"/>
    <row r="3525" ht="11.25" hidden="1"/>
    <row r="3526" ht="11.25" hidden="1"/>
    <row r="3527" ht="11.25" hidden="1"/>
    <row r="3528" ht="11.25" hidden="1"/>
    <row r="3529" ht="11.25" hidden="1"/>
    <row r="3530" ht="11.25" hidden="1"/>
    <row r="3531" ht="11.25" hidden="1"/>
    <row r="3532" ht="11.25" hidden="1"/>
    <row r="3533" ht="11.25" hidden="1"/>
    <row r="3534" ht="11.25" hidden="1"/>
    <row r="3535" ht="11.25" hidden="1"/>
    <row r="3536" ht="11.25" hidden="1"/>
    <row r="3537" ht="11.25" hidden="1"/>
    <row r="3538" ht="11.25" hidden="1"/>
    <row r="3539" ht="11.25" hidden="1"/>
    <row r="3540" ht="11.25" hidden="1"/>
    <row r="3541" ht="11.25" hidden="1"/>
    <row r="3542" ht="11.25" hidden="1"/>
    <row r="3543" ht="11.25" hidden="1"/>
    <row r="3544" ht="11.25" hidden="1"/>
    <row r="3545" ht="11.25" hidden="1"/>
    <row r="3546" ht="11.25" hidden="1"/>
    <row r="3547" ht="11.25" hidden="1"/>
    <row r="3548" ht="11.25" hidden="1"/>
    <row r="3549" ht="11.25" hidden="1"/>
    <row r="3550" ht="11.25" hidden="1"/>
    <row r="3551" ht="11.25" hidden="1"/>
    <row r="3552" ht="11.25" hidden="1"/>
    <row r="3553" ht="11.25" hidden="1"/>
    <row r="3554" ht="11.25" hidden="1"/>
    <row r="3555" ht="11.25" hidden="1"/>
    <row r="3556" ht="11.25" hidden="1"/>
    <row r="3557" ht="11.25" hidden="1"/>
    <row r="3558" ht="11.25" hidden="1"/>
    <row r="3559" ht="11.25" hidden="1"/>
    <row r="3560" ht="11.25" hidden="1"/>
    <row r="3561" ht="11.25" hidden="1"/>
    <row r="3562" ht="11.25" hidden="1"/>
    <row r="3563" ht="11.25" hidden="1"/>
    <row r="3564" ht="11.25" hidden="1"/>
    <row r="3565" ht="11.25" hidden="1"/>
    <row r="3566" ht="11.25" hidden="1"/>
    <row r="3567" ht="11.25" hidden="1"/>
    <row r="3568" ht="11.25" hidden="1"/>
    <row r="3569" ht="11.25" hidden="1"/>
    <row r="3570" ht="11.25" hidden="1"/>
    <row r="3571" ht="11.25" hidden="1"/>
    <row r="3572" ht="11.25" hidden="1"/>
    <row r="3573" ht="11.25" hidden="1"/>
    <row r="3574" ht="11.25" hidden="1"/>
    <row r="3575" ht="11.25" hidden="1"/>
    <row r="3576" ht="11.25" hidden="1"/>
    <row r="3577" ht="11.25" hidden="1"/>
    <row r="3578" ht="11.25" hidden="1"/>
    <row r="3579" ht="11.25" hidden="1"/>
    <row r="3580" ht="11.25" hidden="1"/>
    <row r="3581" ht="11.25" hidden="1"/>
    <row r="3582" ht="11.25" hidden="1"/>
    <row r="3583" ht="11.25" hidden="1"/>
    <row r="3584" ht="11.25" hidden="1"/>
    <row r="3585" ht="11.25" hidden="1"/>
    <row r="3586" ht="11.25" hidden="1"/>
    <row r="3587" ht="11.25" hidden="1"/>
    <row r="3588" ht="11.25" hidden="1"/>
    <row r="3589" ht="11.25" hidden="1"/>
    <row r="3590" ht="11.25" hidden="1"/>
    <row r="3591" ht="11.25" hidden="1"/>
    <row r="3592" ht="11.25" hidden="1"/>
    <row r="3593" ht="11.25" hidden="1"/>
    <row r="3594" ht="11.25" hidden="1"/>
    <row r="3595" ht="11.25" hidden="1"/>
    <row r="3596" ht="11.25" hidden="1"/>
    <row r="3597" ht="11.25" hidden="1"/>
    <row r="3598" ht="11.25" hidden="1"/>
    <row r="3599" ht="11.25" hidden="1"/>
    <row r="3600" ht="11.25" hidden="1"/>
    <row r="3601" ht="11.25" hidden="1"/>
    <row r="3602" ht="11.25" hidden="1"/>
    <row r="3603" ht="11.25" hidden="1"/>
    <row r="3604" ht="11.25" hidden="1"/>
    <row r="3605" ht="11.25" hidden="1"/>
    <row r="3606" ht="11.25" hidden="1"/>
    <row r="3607" ht="11.25" hidden="1"/>
    <row r="3608" ht="11.25" hidden="1"/>
    <row r="3609" ht="11.25" hidden="1"/>
    <row r="3610" ht="11.25" hidden="1"/>
    <row r="3611" ht="11.25" hidden="1"/>
    <row r="3612" ht="11.25" hidden="1"/>
    <row r="3613" ht="11.25" hidden="1"/>
    <row r="3614" ht="11.25" hidden="1"/>
    <row r="3615" ht="11.25" hidden="1"/>
    <row r="3616" ht="11.25" hidden="1"/>
    <row r="3617" ht="11.25" hidden="1"/>
    <row r="3618" ht="11.25" hidden="1"/>
    <row r="3619" ht="11.25" hidden="1"/>
    <row r="3620" ht="11.25" hidden="1"/>
    <row r="3621" ht="11.25" hidden="1"/>
    <row r="3622" ht="11.25" hidden="1"/>
    <row r="3623" ht="11.25" hidden="1"/>
    <row r="3624" ht="11.25" hidden="1"/>
    <row r="3625" ht="11.25" hidden="1"/>
    <row r="3626" ht="11.25" hidden="1"/>
    <row r="3627" ht="11.25" hidden="1"/>
    <row r="3628" ht="11.25" hidden="1"/>
    <row r="3629" ht="11.25" hidden="1"/>
    <row r="3630" ht="11.25" hidden="1"/>
    <row r="3631" ht="11.25" hidden="1"/>
    <row r="3632" ht="11.25" hidden="1"/>
    <row r="3633" ht="11.25" hidden="1"/>
    <row r="3634" ht="11.25" hidden="1"/>
    <row r="3635" ht="11.25" hidden="1"/>
    <row r="3636" ht="11.25" hidden="1"/>
    <row r="3637" ht="11.25" hidden="1"/>
    <row r="3638" ht="11.25" hidden="1"/>
    <row r="3639" ht="11.25" hidden="1"/>
    <row r="3640" ht="11.25" hidden="1"/>
    <row r="3641" ht="11.25" hidden="1"/>
    <row r="3642" ht="11.25" hidden="1"/>
    <row r="3643" ht="11.25" hidden="1"/>
    <row r="3644" ht="11.25" hidden="1"/>
    <row r="3645" ht="11.25" hidden="1"/>
    <row r="3646" ht="11.25" hidden="1"/>
    <row r="3647" ht="11.25" hidden="1"/>
    <row r="3648" ht="11.25" hidden="1"/>
    <row r="3649" ht="11.25" hidden="1"/>
    <row r="3650" ht="11.25" hidden="1"/>
    <row r="3651" ht="11.25" hidden="1"/>
    <row r="3652" ht="11.25" hidden="1"/>
    <row r="3653" ht="11.25" hidden="1"/>
    <row r="3654" ht="11.25" hidden="1"/>
    <row r="3655" ht="11.25" hidden="1"/>
    <row r="3656" ht="11.25" hidden="1"/>
    <row r="3657" ht="11.25" hidden="1"/>
    <row r="3658" ht="11.25" hidden="1"/>
    <row r="3659" ht="11.25" hidden="1"/>
    <row r="3660" ht="11.25" hidden="1"/>
    <row r="3661" ht="11.25" hidden="1"/>
    <row r="3662" ht="11.25" hidden="1"/>
    <row r="3663" ht="11.25" hidden="1"/>
    <row r="3664" ht="11.25" hidden="1"/>
    <row r="3665" ht="11.25" hidden="1"/>
    <row r="3666" ht="11.25" hidden="1"/>
    <row r="3667" ht="11.25" hidden="1"/>
    <row r="3668" ht="11.25" hidden="1"/>
    <row r="3669" ht="11.25" hidden="1"/>
    <row r="3670" ht="11.25" hidden="1"/>
    <row r="3671" ht="11.25" hidden="1"/>
    <row r="3672" ht="11.25" hidden="1"/>
    <row r="3673" ht="11.25" hidden="1"/>
    <row r="3674" ht="11.25" hidden="1"/>
    <row r="3675" ht="11.25" hidden="1"/>
    <row r="3676" ht="11.25" hidden="1"/>
    <row r="3677" ht="11.25" hidden="1"/>
    <row r="3678" ht="11.25" hidden="1"/>
    <row r="3679" ht="11.25" hidden="1"/>
    <row r="3680" ht="11.25" hidden="1"/>
    <row r="3681" ht="11.25" hidden="1"/>
    <row r="3682" ht="11.25" hidden="1"/>
    <row r="3683" ht="11.25" hidden="1"/>
    <row r="3684" ht="11.25" hidden="1"/>
    <row r="3685" ht="11.25" hidden="1"/>
    <row r="3686" ht="11.25" hidden="1"/>
    <row r="3687" ht="11.25" hidden="1"/>
    <row r="3688" ht="11.25" hidden="1"/>
    <row r="3689" ht="11.25" hidden="1"/>
    <row r="3690" ht="11.25" hidden="1"/>
    <row r="3691" ht="11.25" hidden="1"/>
    <row r="3692" ht="11.25" hidden="1"/>
    <row r="3693" ht="11.25" hidden="1"/>
    <row r="3694" ht="11.25" hidden="1"/>
    <row r="3695" ht="11.25" hidden="1"/>
    <row r="3696" ht="11.25" hidden="1"/>
    <row r="3697" ht="11.25" hidden="1"/>
    <row r="3698" ht="11.25" hidden="1"/>
    <row r="3699" ht="11.25" hidden="1"/>
    <row r="3700" ht="11.25" hidden="1"/>
    <row r="3701" ht="11.25" hidden="1"/>
    <row r="3702" ht="11.25" hidden="1"/>
    <row r="3703" ht="11.25" hidden="1"/>
    <row r="3704" ht="11.25" hidden="1"/>
    <row r="3705" ht="11.25" hidden="1"/>
    <row r="3706" ht="11.25" hidden="1"/>
    <row r="3707" ht="11.25" hidden="1"/>
    <row r="3708" ht="11.25" hidden="1"/>
    <row r="3709" ht="11.25" hidden="1"/>
    <row r="3710" ht="11.25" hidden="1"/>
    <row r="3711" ht="11.25" hidden="1"/>
    <row r="3712" ht="11.25" hidden="1"/>
    <row r="3713" ht="11.25" hidden="1"/>
    <row r="3714" ht="11.25" hidden="1"/>
    <row r="3715" ht="11.25" hidden="1"/>
    <row r="3716" ht="11.25" hidden="1"/>
    <row r="3717" ht="11.25" hidden="1"/>
    <row r="3718" ht="11.25" hidden="1"/>
    <row r="3719" ht="11.25" hidden="1"/>
    <row r="3720" ht="11.25" hidden="1"/>
    <row r="3721" ht="11.25" hidden="1"/>
    <row r="3722" ht="11.25" hidden="1"/>
    <row r="3723" ht="11.25" hidden="1"/>
    <row r="3724" ht="11.25" hidden="1"/>
    <row r="3725" ht="11.25" hidden="1"/>
    <row r="3726" ht="11.25" hidden="1"/>
    <row r="3727" ht="11.25" hidden="1"/>
    <row r="3728" ht="11.25" hidden="1"/>
    <row r="3729" ht="11.25" hidden="1"/>
    <row r="3730" ht="11.25" hidden="1"/>
    <row r="3731" ht="11.25" hidden="1"/>
    <row r="3732" ht="11.25" hidden="1"/>
    <row r="3733" ht="11.25" hidden="1"/>
    <row r="3734" ht="11.25" hidden="1"/>
    <row r="3735" ht="11.25" hidden="1"/>
    <row r="3736" ht="11.25" hidden="1"/>
    <row r="3737" ht="11.25" hidden="1"/>
    <row r="3738" ht="11.25" hidden="1"/>
    <row r="3739" ht="11.25" hidden="1"/>
    <row r="3740" ht="11.25" hidden="1"/>
    <row r="3741" ht="11.25" hidden="1"/>
    <row r="3742" ht="11.25" hidden="1"/>
    <row r="3743" ht="11.25" hidden="1"/>
    <row r="3744" ht="11.25" hidden="1"/>
    <row r="3745" ht="11.25" hidden="1"/>
    <row r="3746" ht="11.25" hidden="1"/>
    <row r="3747" ht="11.25" hidden="1"/>
    <row r="3748" ht="11.25" hidden="1"/>
    <row r="3749" ht="11.25" hidden="1"/>
    <row r="3750" ht="11.25" hidden="1"/>
    <row r="3751" ht="11.25" hidden="1"/>
    <row r="3752" ht="11.25" hidden="1"/>
    <row r="3753" ht="11.25" hidden="1"/>
    <row r="3754" ht="11.25" hidden="1"/>
    <row r="3755" ht="11.25" hidden="1"/>
    <row r="3756" ht="11.25" hidden="1"/>
    <row r="3757" ht="11.25" hidden="1"/>
    <row r="3758" ht="11.25" hidden="1"/>
    <row r="3759" ht="11.25" hidden="1"/>
    <row r="3760" ht="11.25" hidden="1"/>
    <row r="3761" ht="11.25" hidden="1"/>
    <row r="3762" ht="11.25" hidden="1"/>
    <row r="3763" ht="11.25" hidden="1"/>
    <row r="3764" ht="11.25" hidden="1"/>
    <row r="3765" ht="11.25" hidden="1"/>
    <row r="3766" ht="11.25" hidden="1"/>
    <row r="3767" ht="11.25" hidden="1"/>
    <row r="3768" ht="11.25" hidden="1"/>
    <row r="3769" ht="11.25" hidden="1"/>
    <row r="3770" ht="11.25" hidden="1"/>
    <row r="3771" ht="11.25" hidden="1"/>
    <row r="3772" ht="11.25" hidden="1"/>
    <row r="3773" ht="11.25" hidden="1"/>
    <row r="3774" ht="11.25" hidden="1"/>
    <row r="3775" ht="11.25" hidden="1"/>
    <row r="3776" ht="11.25" hidden="1"/>
    <row r="3777" ht="11.25" hidden="1"/>
    <row r="3778" ht="11.25" hidden="1"/>
    <row r="3779" ht="11.25" hidden="1"/>
    <row r="3780" ht="11.25" hidden="1"/>
    <row r="3781" ht="11.25" hidden="1"/>
    <row r="3782" ht="11.25" hidden="1"/>
    <row r="3783" ht="11.25" hidden="1"/>
    <row r="3784" ht="11.25" hidden="1"/>
    <row r="3785" ht="11.25" hidden="1"/>
    <row r="3786" ht="11.25" hidden="1"/>
    <row r="3787" ht="11.25" hidden="1"/>
    <row r="3788" ht="11.25" hidden="1"/>
    <row r="3789" ht="11.25" hidden="1"/>
    <row r="3790" ht="11.25" hidden="1"/>
    <row r="3791" ht="11.25" hidden="1"/>
    <row r="3792" ht="11.25" hidden="1"/>
    <row r="3793" ht="11.25" hidden="1"/>
    <row r="3794" ht="11.25" hidden="1"/>
    <row r="3795" ht="11.25" hidden="1"/>
    <row r="3796" ht="11.25" hidden="1"/>
    <row r="3797" ht="11.25" hidden="1"/>
    <row r="3798" ht="11.25" hidden="1"/>
    <row r="3799" ht="11.25" hidden="1"/>
    <row r="3800" ht="11.25" hidden="1"/>
    <row r="3801" ht="11.25" hidden="1"/>
    <row r="3802" ht="11.25" hidden="1"/>
    <row r="3803" ht="11.25" hidden="1"/>
    <row r="3804" ht="11.25" hidden="1"/>
    <row r="3805" ht="11.25" hidden="1"/>
    <row r="3806" ht="11.25" hidden="1"/>
    <row r="3807" ht="11.25" hidden="1"/>
    <row r="3808" ht="11.25" hidden="1"/>
    <row r="3809" ht="11.25" hidden="1"/>
    <row r="3810" ht="11.25" hidden="1"/>
    <row r="3811" ht="11.25" hidden="1"/>
    <row r="3812" ht="11.25" hidden="1"/>
    <row r="3813" ht="11.25" hidden="1"/>
    <row r="3814" ht="11.25" hidden="1"/>
    <row r="3815" ht="11.25" hidden="1"/>
    <row r="3816" ht="11.25" hidden="1"/>
    <row r="3817" ht="11.25" hidden="1"/>
    <row r="3818" ht="11.25" hidden="1"/>
    <row r="3819" ht="11.25" hidden="1"/>
    <row r="3820" ht="11.25" hidden="1"/>
    <row r="3821" ht="11.25" hidden="1"/>
    <row r="3822" ht="11.25" hidden="1"/>
    <row r="3823" ht="11.25" hidden="1"/>
    <row r="3824" ht="11.25" hidden="1"/>
    <row r="3825" ht="11.25" hidden="1"/>
    <row r="3826" ht="11.25" hidden="1"/>
    <row r="3827" ht="11.25" hidden="1"/>
    <row r="3828" ht="11.25" hidden="1"/>
    <row r="3829" ht="11.25" hidden="1"/>
    <row r="3830" ht="11.25" hidden="1"/>
    <row r="3831" ht="11.25" hidden="1"/>
    <row r="3832" ht="11.25" hidden="1"/>
    <row r="3833" ht="11.25" hidden="1"/>
    <row r="3834" ht="11.25" hidden="1"/>
    <row r="3835" ht="11.25" hidden="1"/>
    <row r="3836" ht="11.25" hidden="1"/>
    <row r="3837" ht="11.25" hidden="1"/>
    <row r="3838" ht="11.25" hidden="1"/>
    <row r="3839" ht="11.25" hidden="1"/>
    <row r="3840" ht="11.25" hidden="1"/>
    <row r="3841" ht="11.25" hidden="1"/>
    <row r="3842" ht="11.25" hidden="1"/>
    <row r="3843" ht="11.25" hidden="1"/>
    <row r="3844" ht="11.25" hidden="1"/>
    <row r="3845" ht="11.25" hidden="1"/>
    <row r="3846" ht="11.25" hidden="1"/>
    <row r="3847" ht="11.25" hidden="1"/>
    <row r="3848" ht="11.25" hidden="1"/>
    <row r="3849" ht="11.25" hidden="1"/>
    <row r="3850" ht="11.25" hidden="1"/>
    <row r="3851" ht="11.25" hidden="1"/>
    <row r="3852" ht="11.25" hidden="1"/>
    <row r="3853" ht="11.25" hidden="1"/>
    <row r="3854" ht="11.25" hidden="1"/>
    <row r="3855" ht="11.25" hidden="1"/>
    <row r="3856" ht="11.25" hidden="1"/>
    <row r="3857" ht="11.25" hidden="1"/>
    <row r="3858" ht="11.25" hidden="1"/>
    <row r="3859" ht="11.25" hidden="1"/>
    <row r="3860" ht="11.25" hidden="1"/>
    <row r="3861" ht="11.25" hidden="1"/>
    <row r="3862" ht="11.25" hidden="1"/>
    <row r="3863" ht="11.25" hidden="1"/>
    <row r="3864" ht="11.25" hidden="1"/>
    <row r="3865" ht="11.25" hidden="1"/>
    <row r="3866" ht="11.25" hidden="1"/>
    <row r="3867" ht="11.25" hidden="1"/>
    <row r="3868" ht="11.25" hidden="1"/>
    <row r="3869" ht="11.25" hidden="1"/>
    <row r="3870" ht="11.25" hidden="1"/>
    <row r="3871" ht="11.25" hidden="1"/>
    <row r="3872" ht="11.25" hidden="1"/>
    <row r="3873" ht="11.25" hidden="1"/>
    <row r="3874" ht="11.25" hidden="1"/>
    <row r="3875" ht="11.25" hidden="1"/>
    <row r="3876" ht="11.25" hidden="1"/>
    <row r="3877" ht="11.25" hidden="1"/>
    <row r="3878" ht="11.25" hidden="1"/>
    <row r="3879" ht="11.25" hidden="1"/>
    <row r="3880" ht="11.25" hidden="1"/>
    <row r="3881" ht="11.25" hidden="1"/>
    <row r="3882" ht="11.25" hidden="1"/>
    <row r="3883" ht="11.25" hidden="1"/>
    <row r="3884" ht="11.25" hidden="1"/>
    <row r="3885" ht="11.25" hidden="1"/>
    <row r="3886" ht="11.25" hidden="1"/>
    <row r="3887" ht="11.25" hidden="1"/>
    <row r="3888" ht="11.25" hidden="1"/>
    <row r="3889" ht="11.25" hidden="1"/>
    <row r="3890" ht="11.25" hidden="1"/>
    <row r="3891" ht="11.25" hidden="1"/>
    <row r="3892" ht="11.25" hidden="1"/>
    <row r="3893" ht="11.25" hidden="1"/>
    <row r="3894" ht="11.25" hidden="1"/>
    <row r="3895" ht="11.25" hidden="1"/>
  </sheetData>
  <sheetProtection/>
  <mergeCells count="3">
    <mergeCell ref="BJ19:BK19"/>
    <mergeCell ref="A353:BL353"/>
    <mergeCell ref="A17:BM1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akislaszlo</cp:lastModifiedBy>
  <cp:lastPrinted>2012-07-17T05:23:48Z</cp:lastPrinted>
  <dcterms:created xsi:type="dcterms:W3CDTF">1999-04-28T20:01:57Z</dcterms:created>
  <dcterms:modified xsi:type="dcterms:W3CDTF">2012-07-17T06:58:06Z</dcterms:modified>
  <cp:category/>
  <cp:version/>
  <cp:contentType/>
  <cp:contentStatus/>
</cp:coreProperties>
</file>