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'írószer'!$3:$3</definedName>
  </definedNames>
  <calcPr fullCalcOnLoad="1"/>
</workbook>
</file>

<file path=xl/sharedStrings.xml><?xml version="1.0" encoding="utf-8"?>
<sst xmlns="http://schemas.openxmlformats.org/spreadsheetml/2006/main" count="918" uniqueCount="323">
  <si>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</si>
  <si>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</si>
  <si>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</si>
  <si>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</si>
  <si>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</si>
  <si>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</si>
  <si>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</si>
  <si>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</si>
  <si>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</si>
  <si>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</si>
  <si>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</si>
  <si>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</si>
  <si>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KORES-LACO FEKETE</t>
  </si>
  <si>
    <t>RW</t>
  </si>
  <si>
    <t>CERUZA (GRAFIT)</t>
  </si>
  <si>
    <t>H</t>
  </si>
  <si>
    <t>HB</t>
  </si>
  <si>
    <t>CERUZA (ÁCS)</t>
  </si>
  <si>
    <t>A/5</t>
  </si>
  <si>
    <t xml:space="preserve">NÉVJEGYTARTÓ </t>
  </si>
  <si>
    <t>BÁSTYAFEJŰ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</si>
  <si>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</si>
  <si>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</si>
  <si>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</si>
  <si>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</si>
  <si>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</si>
  <si>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</si>
  <si>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tömb</t>
  </si>
  <si>
    <t>cso.</t>
  </si>
  <si>
    <t>FÉNYMÁSOLÓ PAPÍR (XEROX) 500 ív/cso.</t>
  </si>
  <si>
    <t>VONALZÓ (MŰANYAG)</t>
  </si>
  <si>
    <t>30 CM-ES</t>
  </si>
  <si>
    <t>TŰZŐGÉP KAPOCS 1000 db /doboz</t>
  </si>
  <si>
    <t>GÉMKAPOCS (NORMÁL) műag. bevonatos</t>
  </si>
  <si>
    <t>dob.</t>
  </si>
  <si>
    <t>tek.</t>
  </si>
  <si>
    <t>A/4</t>
  </si>
  <si>
    <t>HIBAJAVÍTÓ SZETT (ECSETELŐS) 2 db-os</t>
  </si>
  <si>
    <t>RAJZSZÖG (FÉM)</t>
  </si>
  <si>
    <t>RAJZSZÖG (MŰANYAG)</t>
  </si>
  <si>
    <t>FÜZET (SPIRÁL) KOCKÁS</t>
  </si>
  <si>
    <t>RAGASZTÓ (PILLANAT)</t>
  </si>
  <si>
    <t>RAGASZTÓ (TECHNOKOL RAPID)</t>
  </si>
  <si>
    <t>ETIKETT CIMKE (DATALINE 36842) A/4</t>
  </si>
  <si>
    <t>ív</t>
  </si>
  <si>
    <t>KÉK SZÍNŰ</t>
  </si>
  <si>
    <t>GENOTHERMA (2 OLDALON FELNYÍLÓ))</t>
  </si>
  <si>
    <t>SIMA</t>
  </si>
  <si>
    <t>ROSTIRON  (VIZES BÁZISÚ) VÉKONY</t>
  </si>
  <si>
    <t>PENTEL ULTRA FINE PIROS</t>
  </si>
  <si>
    <t>IRATRENDEZŐ (ÉLVÉDŐS) HERLITZ</t>
  </si>
  <si>
    <t>CASIO MS 20TV</t>
  </si>
  <si>
    <t>PÉNZTÁRGÉP SZALAG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</si>
  <si>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</si>
  <si>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</si>
  <si>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</si>
  <si>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</si>
  <si>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</si>
  <si>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</si>
  <si>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 xml:space="preserve">A/4 </t>
  </si>
  <si>
    <t>IRATSPIRÁL ELŐLAP (ÁTLÁTSZÓ)</t>
  </si>
  <si>
    <t xml:space="preserve">IRAT SPIRÁL    </t>
  </si>
  <si>
    <t>10MM-ES</t>
  </si>
  <si>
    <t>ROSTIRON (ALKOHOLOS)</t>
  </si>
  <si>
    <t>EDDING 140S ZÖLD</t>
  </si>
  <si>
    <t>EDDING 140S FEKETE</t>
  </si>
  <si>
    <t>EDDING 140S PIROS</t>
  </si>
  <si>
    <t>EDDING 140S KÉK</t>
  </si>
  <si>
    <t>EDDING 142M ZÖLD</t>
  </si>
  <si>
    <t>EDDING 142M FEKETE</t>
  </si>
  <si>
    <t>EDDING 142M PIROS</t>
  </si>
  <si>
    <t>EDDING 142M KÉK</t>
  </si>
  <si>
    <t>10-ES MÉRETŰ-KICSI</t>
  </si>
  <si>
    <t>10-ES MÉRETŰ KAPCSOS</t>
  </si>
  <si>
    <t>KÉK SZÍNŰ 7,5 CM-ES</t>
  </si>
  <si>
    <t>127X075 MM</t>
  </si>
  <si>
    <t>A/6</t>
  </si>
  <si>
    <t>A/7</t>
  </si>
  <si>
    <t>KÉK SZÍNŰ BETÉTTEL</t>
  </si>
  <si>
    <t>PIROS SZÍNŰ BETÉTTEL</t>
  </si>
  <si>
    <t>GOLYÓSTOLL  BETÉT(SOLIDLY) KÉK</t>
  </si>
  <si>
    <t>S.KÉK SZÍNŰ HÁTLAPPAL</t>
  </si>
  <si>
    <t>PENTEL ULTRA FINE KÉK</t>
  </si>
  <si>
    <t>PENTEL ULTRA FINE FEKETE</t>
  </si>
  <si>
    <t>GOLYÓSTOLL BETÉT</t>
  </si>
  <si>
    <t>4 SZÍNŰ TOLLHOZ</t>
  </si>
  <si>
    <t>HŐPAPÍR</t>
  </si>
  <si>
    <t>57X45 MM</t>
  </si>
  <si>
    <t>ZSEBSZÁMOLÓGÉP</t>
  </si>
  <si>
    <t>LC5 / FEHÉR SZÍNŰ</t>
  </si>
  <si>
    <t>LC6 / FEHÉR SZÍNŰ</t>
  </si>
  <si>
    <t>LC4 / FEHÉR SZÍNŰ</t>
  </si>
  <si>
    <t>IRATSPIRÁL HÁTLAP (FEHÉR)</t>
  </si>
  <si>
    <t>GOLYÓSTOLL (SIGNETTA) OLCSÓ</t>
  </si>
  <si>
    <t>KÉK SZÍNŰ 5 CM-ES</t>
  </si>
  <si>
    <t>PIROS SZÍNŰ 5 CM-ES</t>
  </si>
  <si>
    <t>QUICK TAGS (TÖBB SZÍNŰ)</t>
  </si>
  <si>
    <t>POST-IT (TÖBB SZÍNŰ)</t>
  </si>
  <si>
    <t>A/4  ÁLLÓ HELYZETŰ</t>
  </si>
  <si>
    <t>VÁGOTTHEGYŰ-PIROS</t>
  </si>
  <si>
    <t>VÁGOTTHEGYŰ-FEKETE</t>
  </si>
  <si>
    <t>25 MM-ES (12db/dob.)</t>
  </si>
  <si>
    <t>19 MM-ES (12db/dob.)</t>
  </si>
  <si>
    <t>15 MM-ES (12db/dob.)</t>
  </si>
  <si>
    <t>ETIKETT CIMKE (PÁTRIA) A/4</t>
  </si>
  <si>
    <t>SZÁLLÍTÓLEVÉL (ÖNINDIGÓS !)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</si>
  <si>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</si>
  <si>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</si>
  <si>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</si>
  <si>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</si>
  <si>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</si>
  <si>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CASIO FX-115MS S-V.P.A.M vagy CASIO FX-220</t>
  </si>
  <si>
    <t>ARCHIVÁLÓ KONTÉNER</t>
  </si>
  <si>
    <t>CERUZABETÉT (PIXIRON) B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</si>
  <si>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</si>
  <si>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</si>
  <si>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</si>
  <si>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</si>
  <si>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</si>
  <si>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</si>
  <si>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</si>
  <si>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ASZTALI NAPTÁR (15X30 CM-ES)</t>
  </si>
  <si>
    <t>LEFŰZHETŐ (BORÍTÉK JELLEGŰ)</t>
  </si>
  <si>
    <t>GENOTHERMA (OLDALT FELNYÍLÓ) A/4</t>
  </si>
  <si>
    <t>GENOTHERMA (2 OLDALON FELNYÍLÓ) A/4</t>
  </si>
  <si>
    <t>MŰANYAG ZIPPZÁRAS TASAK</t>
  </si>
  <si>
    <t>ALUFÓLIA</t>
  </si>
  <si>
    <t>20 MÉTERES</t>
  </si>
  <si>
    <t>SZÖVEGKIEMELŐ (FABER CASTELL TEXTLINER)</t>
  </si>
  <si>
    <t xml:space="preserve">GOLYÓSTOLL (SOLIDLY) </t>
  </si>
  <si>
    <t>GUMIS MAPPA (KEMÉNY FEDELŰ)</t>
  </si>
  <si>
    <t>A/4 (FÜZETTARTÓ)</t>
  </si>
  <si>
    <t>ETIKETT CIMKE A/4</t>
  </si>
  <si>
    <t>TŰZŐGÉP (KIS KAPCSOS) JÓ MINŐSÉGŰ !</t>
  </si>
  <si>
    <t>EAGLE 204 (24/6 KAPCSOS) JÓ MINŐSÉGŰ !</t>
  </si>
  <si>
    <t>BÉLYEGZŐPÁRNA (FEKETE)</t>
  </si>
  <si>
    <t>COLOP PRINTER 30 TIPUSHOZ</t>
  </si>
  <si>
    <t>ETIKETT CÍMKE A/4</t>
  </si>
  <si>
    <t>99X38 MM</t>
  </si>
  <si>
    <t>FEHÉR SZÍNŰ HÁTLAPPAL</t>
  </si>
  <si>
    <t>GENOTHERMA (LEFŰZHETŐS) VÍZTISZTA !</t>
  </si>
  <si>
    <t>NORMÁL</t>
  </si>
  <si>
    <t>CD-RW LEMEZ (MŰANYAG VÉKONY TOKOS)</t>
  </si>
  <si>
    <t>LYUKASZTÓGÉP (SAX 408)</t>
  </si>
  <si>
    <t>GOLYÓSTOLL (GRAFO)</t>
  </si>
  <si>
    <t>GÖRBEHEGYŰ</t>
  </si>
  <si>
    <t>MŰANYAG IRATRENDEZŐ TÁLCA</t>
  </si>
  <si>
    <t>LEFŰZHETŐ(VÉKONY-ÁTLÁTSZÓ)</t>
  </si>
  <si>
    <t>LEFŰZHETŐ(VASTAG-ÁTLÁTSZÓ)</t>
  </si>
  <si>
    <t>4,2 MM SZÉLES / 5 MÉTERNÉL HOSSZABB !</t>
  </si>
  <si>
    <t>ASZTALI, FEKVŐ, A/4 EGYMÁSRA HELYEZHETŐ !</t>
  </si>
  <si>
    <t>ZÖLD SZÍNŰ BETÉTTEL</t>
  </si>
  <si>
    <t>FILCTOLL (VASTAGABB HEGYŰ)</t>
  </si>
  <si>
    <t>FEKETE SZÍNŰ</t>
  </si>
  <si>
    <t>FEKVŐ HELYZETŰ 2012 ÉVRE !</t>
  </si>
  <si>
    <t>FÜZET (BEÍRÓ) VONALAS 200 LAPOS - PVC FEDELŰ</t>
  </si>
  <si>
    <t>MAPPA (VILLÁMZÁRAS) FEKETE SZÍNŰ</t>
  </si>
  <si>
    <t>BORÍTÉK (LÉGPÁRNÁS)</t>
  </si>
  <si>
    <t>W4</t>
  </si>
  <si>
    <t>FEHÉR SZÍNŰ 7,5 CM-ES</t>
  </si>
  <si>
    <t>220X110 MM / SZÍNES</t>
  </si>
  <si>
    <t>FELÍRÓTÁBLA (FEDELES)</t>
  </si>
  <si>
    <t>ZÖLD SZÍNŰ</t>
  </si>
  <si>
    <t>A/4 ZÖLD SZÍNŰ</t>
  </si>
  <si>
    <t>JELÖLŐCIMKE "SMILE"</t>
  </si>
  <si>
    <t>20X50 MM</t>
  </si>
  <si>
    <t>GOLYÓSTOLL (EREDETI PAX)</t>
  </si>
  <si>
    <t>GOLYÓSTOLL (ZSELÉS)</t>
  </si>
  <si>
    <t>SCHNEIDER-GELION KÉK SZÍNŰ BETÉTTEL</t>
  </si>
  <si>
    <t>ASZTALI KÖNYÖKLŐ NAPTÁR</t>
  </si>
  <si>
    <t>2012 ÉVRE !</t>
  </si>
  <si>
    <t>klt.</t>
  </si>
  <si>
    <t>27X40X50 CM (PAPÍRBÓL FEDÉLLEL)</t>
  </si>
  <si>
    <t>SZALAGOS IROMÁNYFEDÉL</t>
  </si>
  <si>
    <t>FESTÉK ANYAG</t>
  </si>
  <si>
    <t>CASIO HR-150 TEC ASZTALI SZÁMOLÓGÉPHEZ</t>
  </si>
  <si>
    <t>A/4 (PENDAFLEX 93071)</t>
  </si>
  <si>
    <t>FÜGGŐ IRATTÁROLÓ (ZÖLD SZÍNŰ, MŰANYAG)</t>
  </si>
  <si>
    <t>CERUZA (6 SZÍNŰ)</t>
  </si>
  <si>
    <t>40 CM-ES</t>
  </si>
  <si>
    <t>sorszám</t>
  </si>
  <si>
    <t>Anyag megnevezés</t>
  </si>
  <si>
    <t>Egyéb megnevezés, Méret</t>
  </si>
  <si>
    <t>mennyiség</t>
  </si>
  <si>
    <t>Árajánlat bekérés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</si>
  <si>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</si>
  <si>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</si>
  <si>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</si>
  <si>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</si>
  <si>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</si>
  <si>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</si>
  <si>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</si>
  <si>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</si>
  <si>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</si>
  <si>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</si>
  <si>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</si>
  <si>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</si>
  <si>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</si>
  <si>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</si>
  <si>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</si>
  <si>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</si>
  <si>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</si>
  <si>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</si>
  <si>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</si>
  <si>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</si>
  <si>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</si>
  <si>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</si>
  <si>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</si>
  <si>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</si>
  <si>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</si>
  <si>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</si>
  <si>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</si>
  <si>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</si>
  <si>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</si>
  <si>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</si>
  <si>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</si>
  <si>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</si>
  <si>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</si>
  <si>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</si>
  <si>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</si>
  <si>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</si>
  <si>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</si>
  <si>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</si>
  <si>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</si>
  <si>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</si>
  <si>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</si>
  <si>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</si>
  <si>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</si>
  <si>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</si>
  <si>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</si>
  <si>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</si>
  <si>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</si>
  <si>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</si>
  <si>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</si>
  <si>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</si>
  <si>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</si>
  <si>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</si>
  <si>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</si>
  <si>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</si>
  <si>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</si>
  <si>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</si>
  <si>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</si>
  <si>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</si>
  <si>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</si>
  <si>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</si>
  <si>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</si>
  <si>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</si>
  <si>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</si>
  <si>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</si>
  <si>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</si>
  <si>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</si>
  <si>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</si>
  <si>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</si>
  <si>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</si>
  <si>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</si>
  <si>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</si>
  <si>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</si>
  <si>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</si>
  <si>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</si>
  <si>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</si>
  <si>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</si>
  <si>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</si>
  <si>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</si>
  <si>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</si>
  <si>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</si>
  <si>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</si>
  <si>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</si>
  <si>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</si>
  <si>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</si>
  <si>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</si>
  <si>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</si>
  <si>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</si>
  <si>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</si>
  <si>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</si>
  <si>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</si>
  <si>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</si>
  <si>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</si>
  <si>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</si>
  <si>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</si>
  <si>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</si>
  <si>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</si>
  <si>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</si>
  <si>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</si>
  <si>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</si>
  <si>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</si>
  <si>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</si>
  <si>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</si>
  <si>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</si>
  <si>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</si>
  <si>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</si>
  <si>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</si>
  <si>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</si>
  <si>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</si>
  <si>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</si>
  <si>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</si>
  <si>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</si>
  <si>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</si>
  <si>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</si>
  <si>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</si>
  <si>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</si>
  <si>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</si>
  <si>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</si>
  <si>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</si>
  <si>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</si>
  <si>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</si>
  <si>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</si>
  <si>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</si>
  <si>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</si>
  <si>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</si>
  <si>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</si>
  <si>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</si>
  <si>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</si>
  <si>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</si>
  <si>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</si>
  <si>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</si>
  <si>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</si>
  <si>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</si>
  <si>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</si>
  <si>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</si>
  <si>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</si>
  <si>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összesen:</t>
  </si>
  <si>
    <t>egységár (Ft)</t>
  </si>
  <si>
    <t>érték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</si>
</sst>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8"/>
      <name val="Arial CE"/>
      <family val="0"/>
    </font>
    <font>
      <b/>
      <u val="single"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8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24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8" fillId="24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24" borderId="21" xfId="0" applyFont="1" applyFill="1" applyBorder="1" applyAlignment="1">
      <alignment/>
    </xf>
    <xf numFmtId="0" fontId="8" fillId="0" borderId="18" xfId="0" applyFont="1" applyBorder="1" applyAlignment="1">
      <alignment/>
    </xf>
    <xf numFmtId="0" fontId="10" fillId="24" borderId="18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8" fillId="24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10" fillId="24" borderId="22" xfId="0" applyFont="1" applyFill="1" applyBorder="1" applyAlignment="1">
      <alignment/>
    </xf>
    <xf numFmtId="0" fontId="4" fillId="24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25" borderId="23" xfId="0" applyFont="1" applyFill="1" applyBorder="1" applyAlignment="1">
      <alignment/>
    </xf>
    <xf numFmtId="0" fontId="13" fillId="25" borderId="11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24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G856"/>
  <sheetViews>
    <sheetView tabSelected="1" zoomScalePageLayoutView="0" workbookViewId="0" topLeftCell="A1">
      <selection activeCell="A1" sqref="A1:BL2"/>
    </sheetView>
  </sheetViews>
  <sheetFormatPr defaultColWidth="9.00390625" defaultRowHeight="12.75"/>
  <cols>
    <col min="1" max="1" width="9.125" style="1" customWidth="1"/>
    <col min="2" max="2" width="40.375" style="1" customWidth="1"/>
    <col min="3" max="3" width="38.00390625" style="1" customWidth="1"/>
    <col min="4" max="4" width="4.875" style="13" hidden="1" customWidth="1"/>
    <col min="5" max="5" width="3.375" style="5" hidden="1" customWidth="1"/>
    <col min="6" max="6" width="3.25390625" style="5" hidden="1" customWidth="1"/>
    <col min="7" max="7" width="3.625" style="5" hidden="1" customWidth="1"/>
    <col min="8" max="8" width="3.00390625" style="8" hidden="1" customWidth="1"/>
    <col min="9" max="9" width="3.375" style="5" hidden="1" customWidth="1"/>
    <col min="10" max="10" width="3.625" style="5" hidden="1" customWidth="1"/>
    <col min="11" max="11" width="3.75390625" style="5" hidden="1" customWidth="1"/>
    <col min="12" max="12" width="3.25390625" style="5" hidden="1" customWidth="1"/>
    <col min="13" max="13" width="3.00390625" style="7" hidden="1" customWidth="1"/>
    <col min="14" max="14" width="2.875" style="2" hidden="1" customWidth="1"/>
    <col min="15" max="15" width="3.375" style="5" hidden="1" customWidth="1"/>
    <col min="16" max="16" width="3.00390625" style="2" hidden="1" customWidth="1"/>
    <col min="17" max="17" width="3.625" style="5" hidden="1" customWidth="1"/>
    <col min="18" max="19" width="3.00390625" style="5" hidden="1" customWidth="1"/>
    <col min="20" max="20" width="3.25390625" style="5" hidden="1" customWidth="1"/>
    <col min="21" max="22" width="3.00390625" style="5" hidden="1" customWidth="1"/>
    <col min="23" max="23" width="3.375" style="5" hidden="1" customWidth="1"/>
    <col min="24" max="24" width="3.625" style="5" hidden="1" customWidth="1"/>
    <col min="25" max="25" width="3.375" style="5" hidden="1" customWidth="1"/>
    <col min="26" max="26" width="3.25390625" style="5" hidden="1" customWidth="1"/>
    <col min="27" max="28" width="3.00390625" style="5" hidden="1" customWidth="1"/>
    <col min="29" max="29" width="3.375" style="11" hidden="1" customWidth="1"/>
    <col min="30" max="36" width="3.375" style="5" hidden="1" customWidth="1"/>
    <col min="37" max="37" width="3.625" style="5" hidden="1" customWidth="1"/>
    <col min="38" max="38" width="3.25390625" style="5" hidden="1" customWidth="1"/>
    <col min="39" max="39" width="3.25390625" style="3" hidden="1" customWidth="1"/>
    <col min="40" max="40" width="3.375" style="2" hidden="1" customWidth="1"/>
    <col min="41" max="41" width="3.375" style="7" hidden="1" customWidth="1"/>
    <col min="42" max="42" width="3.375" style="2" hidden="1" customWidth="1"/>
    <col min="43" max="43" width="3.625" style="5" hidden="1" customWidth="1"/>
    <col min="44" max="44" width="3.375" style="5" hidden="1" customWidth="1"/>
    <col min="45" max="45" width="3.00390625" style="5" hidden="1" customWidth="1"/>
    <col min="46" max="46" width="3.625" style="5" hidden="1" customWidth="1"/>
    <col min="47" max="47" width="3.375" style="5" hidden="1" customWidth="1"/>
    <col min="48" max="48" width="3.625" style="5" hidden="1" customWidth="1"/>
    <col min="49" max="50" width="3.375" style="5" hidden="1" customWidth="1"/>
    <col min="51" max="54" width="3.375" style="21" hidden="1" customWidth="1"/>
    <col min="55" max="60" width="3.375" style="5" hidden="1" customWidth="1"/>
    <col min="61" max="61" width="6.625" style="5" customWidth="1"/>
    <col min="62" max="62" width="5.625" style="13" customWidth="1"/>
    <col min="63" max="63" width="12.75390625" style="2" customWidth="1"/>
    <col min="64" max="64" width="13.625" style="1" customWidth="1"/>
    <col min="65" max="71" width="3.00390625" style="1" hidden="1" customWidth="1"/>
    <col min="72" max="176" width="0" style="1" hidden="1" customWidth="1"/>
    <col min="177" max="16384" width="9.125" style="1" customWidth="1"/>
  </cols>
  <sheetData>
    <row r="1" spans="1:163" ht="11.25">
      <c r="A1" s="75" t="s">
        <v>184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77"/>
      <c r="BM1" s="42"/>
      <c r="FE1" s="46"/>
      <c r="FF1" s="48"/>
      <c r="FG1" s="40"/>
    </row>
    <row r="2" spans="1:163" s="8" customFormat="1" ht="11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49"/>
      <c r="FE2" s="47"/>
      <c r="FF2" s="36"/>
      <c r="FG2" s="41"/>
    </row>
    <row r="3" spans="1:64" s="8" customFormat="1" ht="12.75">
      <c r="A3" s="27" t="s">
        <v>180</v>
      </c>
      <c r="B3" s="17" t="s">
        <v>181</v>
      </c>
      <c r="C3" s="17" t="s">
        <v>182</v>
      </c>
      <c r="D3" s="17"/>
      <c r="E3" s="17"/>
      <c r="F3" s="17"/>
      <c r="G3" s="17"/>
      <c r="H3" s="25"/>
      <c r="I3" s="17"/>
      <c r="J3" s="17"/>
      <c r="K3" s="17"/>
      <c r="L3" s="17"/>
      <c r="M3" s="3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38"/>
      <c r="AN3" s="17"/>
      <c r="AO3" s="38"/>
      <c r="AP3" s="17"/>
      <c r="AQ3" s="17"/>
      <c r="AR3" s="17"/>
      <c r="AS3" s="17"/>
      <c r="AT3" s="17"/>
      <c r="AU3" s="17"/>
      <c r="AV3" s="17"/>
      <c r="AW3" s="17"/>
      <c r="AX3" s="17"/>
      <c r="AY3" s="39"/>
      <c r="AZ3" s="39"/>
      <c r="BA3" s="39"/>
      <c r="BB3" s="39"/>
      <c r="BC3" s="17"/>
      <c r="BD3" s="17"/>
      <c r="BE3" s="17"/>
      <c r="BF3" s="17"/>
      <c r="BG3" s="17"/>
      <c r="BH3" s="17"/>
      <c r="BI3" s="73" t="s">
        <v>183</v>
      </c>
      <c r="BJ3" s="74"/>
      <c r="BK3" s="27" t="s">
        <v>321</v>
      </c>
      <c r="BL3" s="27" t="s">
        <v>322</v>
      </c>
    </row>
    <row r="4" spans="2:63" s="9" customFormat="1" ht="11.25" hidden="1">
      <c r="B4" s="9" t="str">
        <f>"AJÁNDÉK TASAK"</f>
        <v>AJÁNDÉK TASAK</v>
      </c>
      <c r="D4" s="22"/>
      <c r="E4" s="4"/>
      <c r="F4" s="4"/>
      <c r="G4" s="4"/>
      <c r="H4" s="22" t="s">
        <v>57</v>
      </c>
      <c r="I4" s="22"/>
      <c r="J4" s="4"/>
      <c r="K4" s="4"/>
      <c r="L4" s="4"/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0"/>
      <c r="AD4" s="4"/>
      <c r="AE4" s="4"/>
      <c r="AF4" s="4"/>
      <c r="AG4" s="4"/>
      <c r="AH4" s="4"/>
      <c r="AI4" s="4"/>
      <c r="AJ4" s="4"/>
      <c r="AK4" s="4"/>
      <c r="AL4" s="4"/>
      <c r="AM4" s="6"/>
      <c r="AN4" s="4"/>
      <c r="AO4" s="6"/>
      <c r="AP4" s="4"/>
      <c r="AQ4" s="4"/>
      <c r="AR4" s="4"/>
      <c r="AS4" s="4"/>
      <c r="AT4" s="4"/>
      <c r="AU4" s="4"/>
      <c r="AV4" s="4"/>
      <c r="AW4" s="4"/>
      <c r="AX4" s="4"/>
      <c r="AY4" s="23"/>
      <c r="AZ4" s="23"/>
      <c r="BA4" s="23"/>
      <c r="BB4" s="23"/>
      <c r="BC4" s="4"/>
      <c r="BD4" s="4"/>
      <c r="BE4" s="4"/>
      <c r="BF4" s="4"/>
      <c r="BG4" s="4"/>
      <c r="BH4" s="4"/>
      <c r="BI4" s="4"/>
      <c r="BJ4" s="22"/>
      <c r="BK4" s="4"/>
    </row>
    <row r="5" spans="2:63" s="9" customFormat="1" ht="11.25" hidden="1">
      <c r="B5" s="9" t="str">
        <f>"ALÁÍRÓKÖNYV (A4)"</f>
        <v>ALÁÍRÓKÖNYV (A4)</v>
      </c>
      <c r="C5" s="9" t="str">
        <f>"SAVARIA"</f>
        <v>SAVARIA</v>
      </c>
      <c r="D5" s="22"/>
      <c r="E5" s="4"/>
      <c r="F5" s="4"/>
      <c r="G5" s="4"/>
      <c r="H5" s="22" t="s">
        <v>57</v>
      </c>
      <c r="I5" s="4"/>
      <c r="J5" s="4"/>
      <c r="K5" s="4"/>
      <c r="L5" s="4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0"/>
      <c r="AD5" s="4"/>
      <c r="AE5" s="4"/>
      <c r="AF5" s="4"/>
      <c r="AG5" s="4"/>
      <c r="AH5" s="4"/>
      <c r="AI5" s="4"/>
      <c r="AJ5" s="4"/>
      <c r="AK5" s="4"/>
      <c r="AL5" s="4"/>
      <c r="AM5" s="6"/>
      <c r="AN5" s="4"/>
      <c r="AO5" s="6"/>
      <c r="AP5" s="4"/>
      <c r="AQ5" s="4"/>
      <c r="AR5" s="4"/>
      <c r="AS5" s="4"/>
      <c r="AT5" s="4"/>
      <c r="AU5" s="4"/>
      <c r="AV5" s="4"/>
      <c r="AW5" s="4"/>
      <c r="AX5" s="4"/>
      <c r="AY5" s="23"/>
      <c r="AZ5" s="23"/>
      <c r="BA5" s="23"/>
      <c r="BB5" s="23"/>
      <c r="BC5" s="4"/>
      <c r="BD5" s="4"/>
      <c r="BE5" s="4"/>
      <c r="BF5" s="4"/>
      <c r="BG5" s="4"/>
      <c r="BH5" s="4"/>
      <c r="BI5" s="4"/>
      <c r="BJ5" s="22"/>
      <c r="BK5" s="4"/>
    </row>
    <row r="6" spans="1:63" s="8" customFormat="1" ht="11.25">
      <c r="A6" s="8" t="s">
        <v>185</v>
      </c>
      <c r="B6" s="8" t="s">
        <v>126</v>
      </c>
      <c r="C6" s="8" t="s">
        <v>127</v>
      </c>
      <c r="D6" s="27" t="s">
        <v>35</v>
      </c>
      <c r="E6" s="5"/>
      <c r="F6" s="5">
        <v>3</v>
      </c>
      <c r="G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1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>
        <f aca="true" t="shared" si="0" ref="BI6:BI69">SUM(E6:BH6)</f>
        <v>3</v>
      </c>
      <c r="BJ6" s="27" t="s">
        <v>35</v>
      </c>
      <c r="BK6" s="5"/>
    </row>
    <row r="7" spans="2:63" s="8" customFormat="1" ht="11.25" hidden="1">
      <c r="B7" s="9" t="str">
        <f>"ARCHIVÁLÓ KONTÉNER"</f>
        <v>ARCHIVÁLÓ KONTÉNER</v>
      </c>
      <c r="C7" s="9"/>
      <c r="D7" s="27"/>
      <c r="E7" s="5"/>
      <c r="F7" s="5"/>
      <c r="G7" s="5"/>
      <c r="H7" s="2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1"/>
      <c r="AD7" s="5"/>
      <c r="AE7" s="5"/>
      <c r="AF7" s="5"/>
      <c r="AG7" s="5"/>
      <c r="AH7" s="5"/>
      <c r="AI7" s="5"/>
      <c r="AJ7" s="5"/>
      <c r="AK7" s="5"/>
      <c r="AL7" s="5"/>
      <c r="AM7" s="22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>
        <f t="shared" si="0"/>
        <v>0</v>
      </c>
      <c r="BJ7" s="27"/>
      <c r="BK7" s="5"/>
    </row>
    <row r="8" spans="2:63" s="8" customFormat="1" ht="11.25" hidden="1">
      <c r="B8" s="9" t="str">
        <f>"ÁTÍRÓTÖMB"</f>
        <v>ÁTÍRÓTÖMB</v>
      </c>
      <c r="C8" s="9" t="str">
        <f>"A/5 (50X3)"</f>
        <v>A/5 (50X3)</v>
      </c>
      <c r="D8" s="27"/>
      <c r="E8" s="5"/>
      <c r="F8" s="5"/>
      <c r="G8" s="5"/>
      <c r="H8" s="2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1"/>
      <c r="AD8" s="5"/>
      <c r="AE8" s="5"/>
      <c r="AF8" s="5"/>
      <c r="AG8" s="5"/>
      <c r="AH8" s="5"/>
      <c r="AI8" s="5"/>
      <c r="AJ8" s="5"/>
      <c r="AK8" s="5"/>
      <c r="AL8" s="5"/>
      <c r="AM8" s="2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>
        <f t="shared" si="0"/>
        <v>0</v>
      </c>
      <c r="BJ8" s="27"/>
      <c r="BK8" s="5"/>
    </row>
    <row r="9" spans="2:63" s="8" customFormat="1" ht="11.25" hidden="1">
      <c r="B9" s="9" t="str">
        <f>"ÁTÍRÓTÖMB (ÖNÁTÍRÓS)"</f>
        <v>ÁTÍRÓTÖMB (ÖNÁTÍRÓS)</v>
      </c>
      <c r="C9" s="9" t="str">
        <f>"A/4 (50X2)"</f>
        <v>A/4 (50X2)</v>
      </c>
      <c r="D9" s="27"/>
      <c r="E9" s="5"/>
      <c r="F9" s="5"/>
      <c r="G9" s="5"/>
      <c r="H9" s="2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1"/>
      <c r="AD9" s="5"/>
      <c r="AE9" s="5"/>
      <c r="AF9" s="5"/>
      <c r="AG9" s="5"/>
      <c r="AH9" s="5"/>
      <c r="AI9" s="5"/>
      <c r="AJ9" s="5"/>
      <c r="AK9" s="5"/>
      <c r="AL9" s="5"/>
      <c r="AM9" s="2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>
        <f t="shared" si="0"/>
        <v>0</v>
      </c>
      <c r="BJ9" s="27"/>
      <c r="BK9" s="5"/>
    </row>
    <row r="10" spans="2:63" s="9" customFormat="1" ht="11.25" hidden="1">
      <c r="B10" s="9" t="str">
        <f>"BELFÖLDI KIKÜLDETÉSI RENDELVÉNY"</f>
        <v>BELFÖLDI KIKÜLDETÉSI RENDELVÉNY</v>
      </c>
      <c r="C10" s="9" t="str">
        <f>"(B.18-70/új)"</f>
        <v>(B.18-70/új)</v>
      </c>
      <c r="D10" s="27"/>
      <c r="E10" s="4"/>
      <c r="F10" s="4"/>
      <c r="G10" s="4"/>
      <c r="H10" s="2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0"/>
      <c r="AD10" s="4"/>
      <c r="AE10" s="4"/>
      <c r="AF10" s="4"/>
      <c r="AG10" s="4"/>
      <c r="AH10" s="4"/>
      <c r="AI10" s="4"/>
      <c r="AJ10" s="4"/>
      <c r="AK10" s="4"/>
      <c r="AL10" s="4"/>
      <c r="AM10" s="2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5">
        <f t="shared" si="0"/>
        <v>0</v>
      </c>
      <c r="BJ10" s="27"/>
      <c r="BK10" s="4"/>
    </row>
    <row r="11" spans="2:63" s="9" customFormat="1" ht="11.25" hidden="1">
      <c r="B11" s="9" t="str">
        <f>"BÉLYEGZŐ"</f>
        <v>BÉLYEGZŐ</v>
      </c>
      <c r="C11" s="9" t="str">
        <f>"COLOP 20"</f>
        <v>COLOP 20</v>
      </c>
      <c r="D11" s="27"/>
      <c r="E11" s="4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0"/>
      <c r="AD11" s="4"/>
      <c r="AE11" s="4"/>
      <c r="AF11" s="4"/>
      <c r="AG11" s="4"/>
      <c r="AH11" s="4"/>
      <c r="AI11" s="4"/>
      <c r="AJ11" s="4"/>
      <c r="AK11" s="4"/>
      <c r="AL11" s="4"/>
      <c r="AM11" s="2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5">
        <f t="shared" si="0"/>
        <v>0</v>
      </c>
      <c r="BJ11" s="27"/>
      <c r="BK11" s="4"/>
    </row>
    <row r="12" spans="2:63" s="9" customFormat="1" ht="11.25" hidden="1">
      <c r="B12" s="9" t="str">
        <f>"BÉLYEGZŐ (DÁTUM)"</f>
        <v>BÉLYEGZŐ (DÁTUM)</v>
      </c>
      <c r="C12" s="9" t="str">
        <f>"COLOP S120"</f>
        <v>COLOP S120</v>
      </c>
      <c r="D12" s="27"/>
      <c r="E12" s="4"/>
      <c r="F12" s="4"/>
      <c r="G12" s="4"/>
      <c r="H12" s="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0"/>
      <c r="AD12" s="4"/>
      <c r="AE12" s="4"/>
      <c r="AF12" s="4"/>
      <c r="AG12" s="4"/>
      <c r="AH12" s="4"/>
      <c r="AI12" s="4"/>
      <c r="AJ12" s="4"/>
      <c r="AK12" s="4"/>
      <c r="AL12" s="4"/>
      <c r="AM12" s="2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5">
        <f t="shared" si="0"/>
        <v>0</v>
      </c>
      <c r="BJ12" s="27"/>
      <c r="BK12" s="4"/>
    </row>
    <row r="13" spans="2:63" s="9" customFormat="1" ht="11.25" hidden="1">
      <c r="B13" s="9" t="str">
        <f aca="true" t="shared" si="1" ref="B13:B20">"BÉLYEGZŐPÁRNA"</f>
        <v>BÉLYEGZŐPÁRNA</v>
      </c>
      <c r="C13" s="9" t="str">
        <f>"COLOP BP. 4912"</f>
        <v>COLOP BP. 4912</v>
      </c>
      <c r="D13" s="27"/>
      <c r="E13" s="4"/>
      <c r="F13" s="4"/>
      <c r="G13" s="4"/>
      <c r="H13" s="2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0"/>
      <c r="AD13" s="4"/>
      <c r="AE13" s="4"/>
      <c r="AF13" s="4"/>
      <c r="AG13" s="4"/>
      <c r="AH13" s="4"/>
      <c r="AI13" s="4"/>
      <c r="AJ13" s="4"/>
      <c r="AK13" s="4"/>
      <c r="AL13" s="4"/>
      <c r="AM13" s="2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5">
        <f t="shared" si="0"/>
        <v>0</v>
      </c>
      <c r="BJ13" s="27"/>
      <c r="BK13" s="4"/>
    </row>
    <row r="14" spans="2:63" s="9" customFormat="1" ht="11.25" hidden="1">
      <c r="B14" s="9" t="str">
        <f t="shared" si="1"/>
        <v>BÉLYEGZŐPÁRNA</v>
      </c>
      <c r="C14" s="9" t="str">
        <f>"COLOP BP. 4913"</f>
        <v>COLOP BP. 4913</v>
      </c>
      <c r="D14" s="27"/>
      <c r="E14" s="4"/>
      <c r="F14" s="4"/>
      <c r="G14" s="4"/>
      <c r="H14" s="2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0"/>
      <c r="AD14" s="4"/>
      <c r="AE14" s="4"/>
      <c r="AF14" s="4"/>
      <c r="AG14" s="4"/>
      <c r="AH14" s="4"/>
      <c r="AI14" s="4"/>
      <c r="AJ14" s="4"/>
      <c r="AK14" s="4"/>
      <c r="AL14" s="4"/>
      <c r="AM14" s="2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5">
        <f t="shared" si="0"/>
        <v>0</v>
      </c>
      <c r="BJ14" s="27"/>
      <c r="BK14" s="4"/>
    </row>
    <row r="15" spans="2:63" s="9" customFormat="1" ht="11.25" hidden="1">
      <c r="B15" s="9" t="str">
        <f t="shared" si="1"/>
        <v>BÉLYEGZŐPÁRNA</v>
      </c>
      <c r="C15" s="9" t="str">
        <f>"COLOP E 10"</f>
        <v>COLOP E 10</v>
      </c>
      <c r="D15" s="27"/>
      <c r="E15" s="4"/>
      <c r="F15" s="4"/>
      <c r="G15" s="4"/>
      <c r="H15" s="2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0"/>
      <c r="AD15" s="4"/>
      <c r="AE15" s="4"/>
      <c r="AF15" s="4"/>
      <c r="AG15" s="4"/>
      <c r="AH15" s="4"/>
      <c r="AI15" s="4"/>
      <c r="AJ15" s="4"/>
      <c r="AK15" s="4"/>
      <c r="AL15" s="4"/>
      <c r="AM15" s="22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5">
        <f t="shared" si="0"/>
        <v>0</v>
      </c>
      <c r="BJ15" s="27"/>
      <c r="BK15" s="4"/>
    </row>
    <row r="16" spans="2:63" s="9" customFormat="1" ht="11.25" hidden="1">
      <c r="B16" s="9" t="str">
        <f t="shared" si="1"/>
        <v>BÉLYEGZŐPÁRNA</v>
      </c>
      <c r="C16" s="9" t="str">
        <f>"COLOP E 30"</f>
        <v>COLOP E 30</v>
      </c>
      <c r="D16" s="27"/>
      <c r="E16" s="4"/>
      <c r="F16" s="4"/>
      <c r="G16" s="4"/>
      <c r="H16" s="2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0"/>
      <c r="AD16" s="4"/>
      <c r="AE16" s="4"/>
      <c r="AF16" s="4"/>
      <c r="AG16" s="4"/>
      <c r="AH16" s="4"/>
      <c r="AI16" s="4"/>
      <c r="AJ16" s="4"/>
      <c r="AK16" s="4"/>
      <c r="AL16" s="4"/>
      <c r="AM16" s="2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5">
        <f t="shared" si="0"/>
        <v>0</v>
      </c>
      <c r="BJ16" s="27"/>
      <c r="BK16" s="4"/>
    </row>
    <row r="17" spans="2:63" s="9" customFormat="1" ht="11.25" hidden="1">
      <c r="B17" s="9" t="str">
        <f t="shared" si="1"/>
        <v>BÉLYEGZŐPÁRNA</v>
      </c>
      <c r="C17" s="9" t="str">
        <f>"COLOP E 40"</f>
        <v>COLOP E 40</v>
      </c>
      <c r="D17" s="27"/>
      <c r="E17" s="4"/>
      <c r="F17" s="4"/>
      <c r="G17" s="4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0"/>
      <c r="AD17" s="4"/>
      <c r="AE17" s="4"/>
      <c r="AF17" s="4"/>
      <c r="AG17" s="4"/>
      <c r="AH17" s="4"/>
      <c r="AI17" s="4"/>
      <c r="AJ17" s="4"/>
      <c r="AK17" s="4"/>
      <c r="AL17" s="4"/>
      <c r="AM17" s="22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5">
        <f t="shared" si="0"/>
        <v>0</v>
      </c>
      <c r="BJ17" s="27"/>
      <c r="BK17" s="4"/>
    </row>
    <row r="18" spans="2:63" s="9" customFormat="1" ht="11.25" hidden="1">
      <c r="B18" s="9" t="str">
        <f t="shared" si="1"/>
        <v>BÉLYEGZŐPÁRNA</v>
      </c>
      <c r="C18" s="9" t="str">
        <f>"KORES"</f>
        <v>KORES</v>
      </c>
      <c r="D18" s="27"/>
      <c r="E18" s="4"/>
      <c r="F18" s="4"/>
      <c r="G18" s="4"/>
      <c r="H18" s="2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0"/>
      <c r="AD18" s="4"/>
      <c r="AE18" s="4"/>
      <c r="AF18" s="4"/>
      <c r="AG18" s="4"/>
      <c r="AH18" s="4"/>
      <c r="AI18" s="4"/>
      <c r="AJ18" s="4"/>
      <c r="AK18" s="4"/>
      <c r="AL18" s="4"/>
      <c r="AM18" s="22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5">
        <f t="shared" si="0"/>
        <v>0</v>
      </c>
      <c r="BJ18" s="27"/>
      <c r="BK18" s="4"/>
    </row>
    <row r="19" spans="2:63" s="9" customFormat="1" ht="11.25" hidden="1">
      <c r="B19" s="9" t="str">
        <f t="shared" si="1"/>
        <v>BÉLYEGZŐPÁRNA</v>
      </c>
      <c r="C19" s="9" t="str">
        <f>"LACO"</f>
        <v>LACO</v>
      </c>
      <c r="D19" s="27"/>
      <c r="E19" s="4"/>
      <c r="F19" s="4"/>
      <c r="G19" s="4"/>
      <c r="H19" s="2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10"/>
      <c r="AD19" s="4"/>
      <c r="AE19" s="4"/>
      <c r="AF19" s="4"/>
      <c r="AG19" s="4"/>
      <c r="AH19" s="4"/>
      <c r="AI19" s="4"/>
      <c r="AJ19" s="4"/>
      <c r="AK19" s="4"/>
      <c r="AL19" s="4"/>
      <c r="AM19" s="22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5">
        <f t="shared" si="0"/>
        <v>0</v>
      </c>
      <c r="BJ19" s="27"/>
      <c r="BK19" s="4"/>
    </row>
    <row r="20" spans="2:63" s="9" customFormat="1" ht="11.25" hidden="1">
      <c r="B20" s="9" t="str">
        <f t="shared" si="1"/>
        <v>BÉLYEGZŐPÁRNA</v>
      </c>
      <c r="C20" s="9" t="str">
        <f>"TRODAT 4912"</f>
        <v>TRODAT 4912</v>
      </c>
      <c r="D20" s="27"/>
      <c r="E20" s="4"/>
      <c r="F20" s="4"/>
      <c r="G20" s="4"/>
      <c r="H20" s="2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0"/>
      <c r="AD20" s="4"/>
      <c r="AE20" s="4"/>
      <c r="AF20" s="4"/>
      <c r="AG20" s="4"/>
      <c r="AH20" s="4"/>
      <c r="AI20" s="4"/>
      <c r="AJ20" s="4"/>
      <c r="AK20" s="4"/>
      <c r="AL20" s="4"/>
      <c r="AM20" s="22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5">
        <f t="shared" si="0"/>
        <v>0</v>
      </c>
      <c r="BJ20" s="27"/>
      <c r="BK20" s="4"/>
    </row>
    <row r="21" spans="1:65" s="9" customFormat="1" ht="11.25">
      <c r="A21" s="9" t="s">
        <v>186</v>
      </c>
      <c r="B21" s="9" t="str">
        <f>"ÁRAZÓSZALAG"</f>
        <v>ÁRAZÓSZALAG</v>
      </c>
      <c r="D21" s="22" t="s">
        <v>35</v>
      </c>
      <c r="E21" s="4"/>
      <c r="F21" s="4"/>
      <c r="G21" s="4">
        <v>2</v>
      </c>
      <c r="H21" s="2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0"/>
      <c r="AD21" s="4"/>
      <c r="AE21" s="4"/>
      <c r="AF21" s="4"/>
      <c r="AG21" s="4"/>
      <c r="AH21" s="4"/>
      <c r="AI21" s="4"/>
      <c r="AJ21" s="4"/>
      <c r="AK21" s="4"/>
      <c r="AL21" s="4"/>
      <c r="AM21" s="22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5">
        <f t="shared" si="0"/>
        <v>2</v>
      </c>
      <c r="BJ21" s="22" t="s">
        <v>35</v>
      </c>
      <c r="BK21" s="4"/>
      <c r="BM21" s="8"/>
    </row>
    <row r="22" spans="1:63" s="8" customFormat="1" ht="11.25">
      <c r="A22" s="8" t="s">
        <v>187</v>
      </c>
      <c r="B22" s="8" t="s">
        <v>112</v>
      </c>
      <c r="C22" s="8" t="s">
        <v>172</v>
      </c>
      <c r="D22" s="27" t="s">
        <v>26</v>
      </c>
      <c r="E22" s="5"/>
      <c r="F22" s="5"/>
      <c r="G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1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>
        <v>10</v>
      </c>
      <c r="AX22" s="5">
        <v>10</v>
      </c>
      <c r="AY22" s="5"/>
      <c r="AZ22" s="5"/>
      <c r="BA22" s="5"/>
      <c r="BB22" s="5"/>
      <c r="BC22" s="5">
        <v>2</v>
      </c>
      <c r="BD22" s="5">
        <v>2</v>
      </c>
      <c r="BE22" s="5"/>
      <c r="BF22" s="5"/>
      <c r="BG22" s="5"/>
      <c r="BH22" s="5"/>
      <c r="BI22" s="5">
        <f t="shared" si="0"/>
        <v>24</v>
      </c>
      <c r="BJ22" s="27" t="s">
        <v>26</v>
      </c>
      <c r="BK22" s="5"/>
    </row>
    <row r="23" spans="1:63" s="9" customFormat="1" ht="11.25">
      <c r="A23" s="9" t="s">
        <v>188</v>
      </c>
      <c r="B23" s="9" t="s">
        <v>121</v>
      </c>
      <c r="C23" s="9" t="s">
        <v>154</v>
      </c>
      <c r="D23" s="27" t="s">
        <v>26</v>
      </c>
      <c r="E23" s="4"/>
      <c r="F23" s="4"/>
      <c r="G23" s="4"/>
      <c r="H23" s="22"/>
      <c r="I23" s="4"/>
      <c r="J23" s="4"/>
      <c r="K23" s="4">
        <v>3</v>
      </c>
      <c r="L23" s="4">
        <v>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0"/>
      <c r="AD23" s="4"/>
      <c r="AE23" s="4"/>
      <c r="AF23" s="4"/>
      <c r="AG23" s="4"/>
      <c r="AH23" s="4"/>
      <c r="AI23" s="4"/>
      <c r="AJ23" s="4"/>
      <c r="AK23" s="4"/>
      <c r="AL23" s="4"/>
      <c r="AM23" s="22"/>
      <c r="AN23" s="4"/>
      <c r="AO23" s="4"/>
      <c r="AP23" s="4"/>
      <c r="AQ23" s="4"/>
      <c r="AR23" s="4">
        <v>1</v>
      </c>
      <c r="AS23" s="4">
        <v>1</v>
      </c>
      <c r="AT23" s="4"/>
      <c r="AU23" s="4"/>
      <c r="AV23" s="4"/>
      <c r="AW23" s="4"/>
      <c r="AX23" s="4"/>
      <c r="AY23" s="4"/>
      <c r="AZ23" s="4">
        <v>1</v>
      </c>
      <c r="BA23" s="4"/>
      <c r="BB23" s="4"/>
      <c r="BC23" s="4"/>
      <c r="BD23" s="4"/>
      <c r="BE23" s="4"/>
      <c r="BF23" s="4"/>
      <c r="BG23" s="4"/>
      <c r="BH23" s="4"/>
      <c r="BI23" s="5">
        <f t="shared" si="0"/>
        <v>8</v>
      </c>
      <c r="BJ23" s="27" t="s">
        <v>26</v>
      </c>
      <c r="BK23" s="4"/>
    </row>
    <row r="24" spans="2:65" s="9" customFormat="1" ht="11.25" hidden="1">
      <c r="B24" s="9" t="str">
        <f>"BEUTALÓ ORVOSI ALK. VIZSGÁLATRA"</f>
        <v>BEUTALÓ ORVOSI ALK. VIZSGÁLATRA</v>
      </c>
      <c r="C24" s="9" t="str">
        <f>"A 3510-217"</f>
        <v>A 3510-217</v>
      </c>
      <c r="D24" s="27" t="s">
        <v>26</v>
      </c>
      <c r="E24" s="4"/>
      <c r="F24" s="4"/>
      <c r="G24" s="4"/>
      <c r="H24" s="2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0"/>
      <c r="AD24" s="4"/>
      <c r="AE24" s="4"/>
      <c r="AF24" s="4"/>
      <c r="AG24" s="4"/>
      <c r="AH24" s="4"/>
      <c r="AI24" s="4"/>
      <c r="AJ24" s="4"/>
      <c r="AK24" s="4"/>
      <c r="AL24" s="4"/>
      <c r="AM24" s="22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5">
        <f t="shared" si="0"/>
        <v>0</v>
      </c>
      <c r="BJ24" s="27" t="s">
        <v>26</v>
      </c>
      <c r="BK24" s="4"/>
      <c r="BM24" s="8"/>
    </row>
    <row r="25" spans="2:63" s="8" customFormat="1" ht="11.25" hidden="1">
      <c r="B25" s="9" t="str">
        <f>"BEVÉTELI PÉNZTÁRBIZONYLAT"</f>
        <v>BEVÉTELI PÉNZTÁRBIZONYLAT</v>
      </c>
      <c r="C25" s="9"/>
      <c r="D25" s="27" t="s">
        <v>26</v>
      </c>
      <c r="E25" s="5"/>
      <c r="F25" s="5"/>
      <c r="G25" s="5"/>
      <c r="H25" s="2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1"/>
      <c r="AD25" s="5"/>
      <c r="AE25" s="5"/>
      <c r="AF25" s="5"/>
      <c r="AG25" s="5"/>
      <c r="AH25" s="5"/>
      <c r="AI25" s="5"/>
      <c r="AJ25" s="5"/>
      <c r="AK25" s="5"/>
      <c r="AL25" s="5"/>
      <c r="AM25" s="22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>
        <f t="shared" si="0"/>
        <v>0</v>
      </c>
      <c r="BJ25" s="27" t="s">
        <v>26</v>
      </c>
      <c r="BK25" s="5"/>
    </row>
    <row r="26" spans="1:63" s="8" customFormat="1" ht="11.25">
      <c r="A26" s="8" t="s">
        <v>189</v>
      </c>
      <c r="B26" s="9" t="s">
        <v>169</v>
      </c>
      <c r="C26" s="9" t="s">
        <v>170</v>
      </c>
      <c r="D26" s="27" t="s">
        <v>26</v>
      </c>
      <c r="E26" s="5"/>
      <c r="F26" s="5"/>
      <c r="G26" s="5"/>
      <c r="H26" s="2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1"/>
      <c r="AD26" s="5"/>
      <c r="AE26" s="5"/>
      <c r="AF26" s="5"/>
      <c r="AG26" s="5"/>
      <c r="AH26" s="5"/>
      <c r="AI26" s="5"/>
      <c r="AJ26" s="5"/>
      <c r="AK26" s="5"/>
      <c r="AL26" s="5"/>
      <c r="AM26" s="22"/>
      <c r="AN26" s="5"/>
      <c r="AO26" s="5"/>
      <c r="AP26" s="5"/>
      <c r="AQ26" s="5"/>
      <c r="AR26" s="5">
        <v>1</v>
      </c>
      <c r="AS26" s="5">
        <v>1</v>
      </c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>
        <f t="shared" si="0"/>
        <v>2</v>
      </c>
      <c r="BJ26" s="27" t="s">
        <v>26</v>
      </c>
      <c r="BK26" s="5"/>
    </row>
    <row r="27" spans="1:63" s="8" customFormat="1" ht="11.25">
      <c r="A27" s="8" t="s">
        <v>190</v>
      </c>
      <c r="B27" s="8" t="s">
        <v>118</v>
      </c>
      <c r="D27" s="27" t="s">
        <v>106</v>
      </c>
      <c r="E27" s="5"/>
      <c r="F27" s="5"/>
      <c r="G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1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>
        <v>10</v>
      </c>
      <c r="AS27" s="5">
        <v>10</v>
      </c>
      <c r="AT27" s="5"/>
      <c r="AU27" s="5">
        <v>5</v>
      </c>
      <c r="AV27" s="5">
        <v>2</v>
      </c>
      <c r="AW27" s="5">
        <v>2</v>
      </c>
      <c r="AX27" s="5"/>
      <c r="AY27" s="5"/>
      <c r="AZ27" s="5"/>
      <c r="BA27" s="5"/>
      <c r="BB27" s="5"/>
      <c r="BC27" s="5"/>
      <c r="BD27" s="5"/>
      <c r="BE27" s="5">
        <v>1</v>
      </c>
      <c r="BF27" s="5"/>
      <c r="BG27" s="5"/>
      <c r="BH27" s="5"/>
      <c r="BI27" s="5">
        <f t="shared" si="0"/>
        <v>30</v>
      </c>
      <c r="BJ27" s="27" t="s">
        <v>106</v>
      </c>
      <c r="BK27" s="5"/>
    </row>
    <row r="28" spans="2:63" s="8" customFormat="1" ht="11.25" hidden="1">
      <c r="B28" s="8" t="s">
        <v>135</v>
      </c>
      <c r="C28" s="8" t="s">
        <v>136</v>
      </c>
      <c r="D28" s="27" t="s">
        <v>26</v>
      </c>
      <c r="E28" s="5"/>
      <c r="F28" s="5"/>
      <c r="G28" s="5"/>
      <c r="H28" s="2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1"/>
      <c r="AD28" s="5"/>
      <c r="AE28" s="5"/>
      <c r="AF28" s="5"/>
      <c r="AG28" s="5"/>
      <c r="AH28" s="5"/>
      <c r="AI28" s="5"/>
      <c r="AJ28" s="5"/>
      <c r="AK28" s="5"/>
      <c r="AL28" s="5"/>
      <c r="AM28" s="22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>
        <f t="shared" si="0"/>
        <v>0</v>
      </c>
      <c r="BJ28" s="27" t="s">
        <v>26</v>
      </c>
      <c r="BK28" s="5"/>
    </row>
    <row r="29" spans="2:63" s="8" customFormat="1" ht="11.25" hidden="1">
      <c r="B29" s="8" t="s">
        <v>135</v>
      </c>
      <c r="C29" s="8" t="s">
        <v>136</v>
      </c>
      <c r="D29" s="27" t="s">
        <v>26</v>
      </c>
      <c r="E29" s="5"/>
      <c r="F29" s="5"/>
      <c r="G29" s="5"/>
      <c r="H29" s="2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"/>
      <c r="AD29" s="5"/>
      <c r="AE29" s="5"/>
      <c r="AF29" s="5"/>
      <c r="AG29" s="5"/>
      <c r="AH29" s="5"/>
      <c r="AI29" s="5"/>
      <c r="AJ29" s="5"/>
      <c r="AK29" s="5"/>
      <c r="AL29" s="5"/>
      <c r="AM29" s="22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>
        <f t="shared" si="0"/>
        <v>0</v>
      </c>
      <c r="BJ29" s="27" t="s">
        <v>26</v>
      </c>
      <c r="BK29" s="5"/>
    </row>
    <row r="30" spans="2:63" s="8" customFormat="1" ht="11.25" hidden="1">
      <c r="B30" s="8" t="s">
        <v>135</v>
      </c>
      <c r="C30" s="8" t="s">
        <v>136</v>
      </c>
      <c r="D30" s="27" t="s">
        <v>26</v>
      </c>
      <c r="E30" s="5"/>
      <c r="F30" s="5"/>
      <c r="G30" s="5"/>
      <c r="H30" s="2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1"/>
      <c r="AD30" s="5"/>
      <c r="AE30" s="5"/>
      <c r="AF30" s="5"/>
      <c r="AG30" s="5"/>
      <c r="AH30" s="5"/>
      <c r="AI30" s="5"/>
      <c r="AJ30" s="5"/>
      <c r="AK30" s="5"/>
      <c r="AL30" s="5"/>
      <c r="AM30" s="22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>
        <f t="shared" si="0"/>
        <v>0</v>
      </c>
      <c r="BJ30" s="27" t="s">
        <v>26</v>
      </c>
      <c r="BK30" s="5"/>
    </row>
    <row r="31" spans="2:63" s="8" customFormat="1" ht="11.25" hidden="1">
      <c r="B31" s="8" t="s">
        <v>135</v>
      </c>
      <c r="C31" s="8" t="s">
        <v>136</v>
      </c>
      <c r="D31" s="27" t="s">
        <v>26</v>
      </c>
      <c r="E31" s="5"/>
      <c r="F31" s="5"/>
      <c r="G31" s="5"/>
      <c r="H31" s="2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  <c r="AD31" s="5"/>
      <c r="AE31" s="5"/>
      <c r="AF31" s="5"/>
      <c r="AG31" s="5"/>
      <c r="AH31" s="5"/>
      <c r="AI31" s="5"/>
      <c r="AJ31" s="5"/>
      <c r="AK31" s="5"/>
      <c r="AL31" s="5"/>
      <c r="AM31" s="22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>
        <f t="shared" si="0"/>
        <v>0</v>
      </c>
      <c r="BJ31" s="27" t="s">
        <v>26</v>
      </c>
      <c r="BK31" s="5"/>
    </row>
    <row r="32" spans="2:63" s="8" customFormat="1" ht="11.25" hidden="1">
      <c r="B32" s="8" t="s">
        <v>135</v>
      </c>
      <c r="C32" s="8" t="s">
        <v>136</v>
      </c>
      <c r="D32" s="27" t="s">
        <v>26</v>
      </c>
      <c r="E32" s="5"/>
      <c r="F32" s="5"/>
      <c r="G32" s="5"/>
      <c r="H32" s="2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1"/>
      <c r="AD32" s="5"/>
      <c r="AE32" s="5"/>
      <c r="AF32" s="5"/>
      <c r="AG32" s="5"/>
      <c r="AH32" s="5"/>
      <c r="AI32" s="5"/>
      <c r="AJ32" s="5"/>
      <c r="AK32" s="5"/>
      <c r="AL32" s="5"/>
      <c r="AM32" s="22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>
        <f t="shared" si="0"/>
        <v>0</v>
      </c>
      <c r="BJ32" s="27" t="s">
        <v>26</v>
      </c>
      <c r="BK32" s="5"/>
    </row>
    <row r="33" spans="2:63" s="8" customFormat="1" ht="11.25" hidden="1">
      <c r="B33" s="8" t="s">
        <v>135</v>
      </c>
      <c r="C33" s="8" t="s">
        <v>136</v>
      </c>
      <c r="D33" s="27" t="s">
        <v>26</v>
      </c>
      <c r="E33" s="5"/>
      <c r="F33" s="5"/>
      <c r="G33" s="5"/>
      <c r="H33" s="2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1"/>
      <c r="AD33" s="5"/>
      <c r="AE33" s="5"/>
      <c r="AF33" s="5"/>
      <c r="AG33" s="5"/>
      <c r="AH33" s="5"/>
      <c r="AI33" s="5"/>
      <c r="AJ33" s="5"/>
      <c r="AK33" s="5"/>
      <c r="AL33" s="5"/>
      <c r="AM33" s="22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>
        <f t="shared" si="0"/>
        <v>0</v>
      </c>
      <c r="BJ33" s="27" t="s">
        <v>26</v>
      </c>
      <c r="BK33" s="5"/>
    </row>
    <row r="34" spans="2:63" s="8" customFormat="1" ht="11.25" hidden="1">
      <c r="B34" s="8" t="s">
        <v>135</v>
      </c>
      <c r="C34" s="8" t="s">
        <v>136</v>
      </c>
      <c r="D34" s="27" t="s">
        <v>26</v>
      </c>
      <c r="E34" s="5"/>
      <c r="F34" s="5"/>
      <c r="G34" s="5"/>
      <c r="H34" s="2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1"/>
      <c r="AD34" s="5"/>
      <c r="AE34" s="5"/>
      <c r="AF34" s="5"/>
      <c r="AG34" s="5"/>
      <c r="AH34" s="5"/>
      <c r="AI34" s="5"/>
      <c r="AJ34" s="5"/>
      <c r="AK34" s="5"/>
      <c r="AL34" s="5"/>
      <c r="AM34" s="22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>
        <f t="shared" si="0"/>
        <v>0</v>
      </c>
      <c r="BJ34" s="27" t="s">
        <v>26</v>
      </c>
      <c r="BK34" s="5"/>
    </row>
    <row r="35" spans="2:63" s="8" customFormat="1" ht="11.25" hidden="1">
      <c r="B35" s="8" t="s">
        <v>135</v>
      </c>
      <c r="C35" s="8" t="s">
        <v>136</v>
      </c>
      <c r="D35" s="27" t="s">
        <v>26</v>
      </c>
      <c r="E35" s="5"/>
      <c r="F35" s="5"/>
      <c r="G35" s="5"/>
      <c r="H35" s="2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  <c r="AD35" s="5"/>
      <c r="AE35" s="5"/>
      <c r="AF35" s="5"/>
      <c r="AG35" s="5"/>
      <c r="AH35" s="5"/>
      <c r="AI35" s="5"/>
      <c r="AJ35" s="5"/>
      <c r="AK35" s="5"/>
      <c r="AL35" s="5"/>
      <c r="AM35" s="22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>
        <f t="shared" si="0"/>
        <v>0</v>
      </c>
      <c r="BJ35" s="27" t="s">
        <v>26</v>
      </c>
      <c r="BK35" s="5"/>
    </row>
    <row r="36" spans="2:63" s="8" customFormat="1" ht="11.25" hidden="1">
      <c r="B36" s="8" t="s">
        <v>135</v>
      </c>
      <c r="C36" s="8" t="s">
        <v>136</v>
      </c>
      <c r="D36" s="27" t="s">
        <v>26</v>
      </c>
      <c r="E36" s="5"/>
      <c r="F36" s="5"/>
      <c r="G36" s="5"/>
      <c r="H36" s="2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11"/>
      <c r="AD36" s="5"/>
      <c r="AE36" s="5"/>
      <c r="AF36" s="5"/>
      <c r="AG36" s="5"/>
      <c r="AH36" s="5"/>
      <c r="AI36" s="5"/>
      <c r="AJ36" s="5"/>
      <c r="AK36" s="5"/>
      <c r="AL36" s="5"/>
      <c r="AM36" s="22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>
        <f t="shared" si="0"/>
        <v>0</v>
      </c>
      <c r="BJ36" s="27" t="s">
        <v>26</v>
      </c>
      <c r="BK36" s="5"/>
    </row>
    <row r="37" spans="2:63" s="8" customFormat="1" ht="11.25" hidden="1">
      <c r="B37" s="8" t="s">
        <v>135</v>
      </c>
      <c r="C37" s="8" t="s">
        <v>136</v>
      </c>
      <c r="D37" s="27" t="s">
        <v>26</v>
      </c>
      <c r="E37" s="5"/>
      <c r="F37" s="5"/>
      <c r="G37" s="5"/>
      <c r="H37" s="2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1"/>
      <c r="AD37" s="5"/>
      <c r="AE37" s="5"/>
      <c r="AF37" s="5"/>
      <c r="AG37" s="5"/>
      <c r="AH37" s="5"/>
      <c r="AI37" s="5"/>
      <c r="AJ37" s="5"/>
      <c r="AK37" s="5"/>
      <c r="AL37" s="5"/>
      <c r="AM37" s="22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>
        <f t="shared" si="0"/>
        <v>0</v>
      </c>
      <c r="BJ37" s="27" t="s">
        <v>26</v>
      </c>
      <c r="BK37" s="5"/>
    </row>
    <row r="38" spans="2:63" s="8" customFormat="1" ht="11.25" hidden="1">
      <c r="B38" s="8" t="s">
        <v>135</v>
      </c>
      <c r="C38" s="8" t="s">
        <v>136</v>
      </c>
      <c r="D38" s="27" t="s">
        <v>26</v>
      </c>
      <c r="E38" s="5"/>
      <c r="F38" s="5"/>
      <c r="G38" s="5"/>
      <c r="H38" s="2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1"/>
      <c r="AD38" s="5"/>
      <c r="AE38" s="5"/>
      <c r="AF38" s="5"/>
      <c r="AG38" s="5"/>
      <c r="AH38" s="5"/>
      <c r="AI38" s="5"/>
      <c r="AJ38" s="5"/>
      <c r="AK38" s="5"/>
      <c r="AL38" s="5"/>
      <c r="AM38" s="22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>
        <f t="shared" si="0"/>
        <v>0</v>
      </c>
      <c r="BJ38" s="27" t="s">
        <v>26</v>
      </c>
      <c r="BK38" s="5"/>
    </row>
    <row r="39" spans="2:63" s="8" customFormat="1" ht="11.25" hidden="1">
      <c r="B39" s="8" t="s">
        <v>135</v>
      </c>
      <c r="C39" s="8" t="s">
        <v>136</v>
      </c>
      <c r="D39" s="27" t="s">
        <v>26</v>
      </c>
      <c r="E39" s="5"/>
      <c r="F39" s="5"/>
      <c r="G39" s="5"/>
      <c r="H39" s="2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1"/>
      <c r="AD39" s="5"/>
      <c r="AE39" s="5"/>
      <c r="AF39" s="5"/>
      <c r="AG39" s="5"/>
      <c r="AH39" s="5"/>
      <c r="AI39" s="5"/>
      <c r="AJ39" s="5"/>
      <c r="AK39" s="5"/>
      <c r="AL39" s="5"/>
      <c r="AM39" s="22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>
        <f t="shared" si="0"/>
        <v>0</v>
      </c>
      <c r="BJ39" s="27" t="s">
        <v>26</v>
      </c>
      <c r="BK39" s="5"/>
    </row>
    <row r="40" spans="2:63" s="8" customFormat="1" ht="11.25" hidden="1">
      <c r="B40" s="8" t="s">
        <v>135</v>
      </c>
      <c r="C40" s="8" t="s">
        <v>136</v>
      </c>
      <c r="D40" s="27" t="s">
        <v>26</v>
      </c>
      <c r="E40" s="5"/>
      <c r="F40" s="5"/>
      <c r="G40" s="5"/>
      <c r="H40" s="2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1"/>
      <c r="AD40" s="5"/>
      <c r="AE40" s="5"/>
      <c r="AF40" s="5"/>
      <c r="AG40" s="5"/>
      <c r="AH40" s="5"/>
      <c r="AI40" s="5"/>
      <c r="AJ40" s="5"/>
      <c r="AK40" s="5"/>
      <c r="AL40" s="5"/>
      <c r="AM40" s="22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>
        <f t="shared" si="0"/>
        <v>0</v>
      </c>
      <c r="BJ40" s="27" t="s">
        <v>26</v>
      </c>
      <c r="BK40" s="5"/>
    </row>
    <row r="41" spans="1:63" s="8" customFormat="1" ht="11.25">
      <c r="A41" s="8" t="s">
        <v>191</v>
      </c>
      <c r="B41" s="8" t="s">
        <v>135</v>
      </c>
      <c r="C41" s="8" t="s">
        <v>136</v>
      </c>
      <c r="D41" s="27" t="s">
        <v>26</v>
      </c>
      <c r="E41" s="5">
        <v>1</v>
      </c>
      <c r="F41" s="5"/>
      <c r="G41" s="5"/>
      <c r="H41" s="2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1"/>
      <c r="AD41" s="5"/>
      <c r="AE41" s="5"/>
      <c r="AF41" s="5"/>
      <c r="AG41" s="5"/>
      <c r="AH41" s="5"/>
      <c r="AI41" s="5"/>
      <c r="AJ41" s="5"/>
      <c r="AK41" s="5"/>
      <c r="AL41" s="5"/>
      <c r="AM41" s="22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>
        <f t="shared" si="0"/>
        <v>1</v>
      </c>
      <c r="BJ41" s="27" t="s">
        <v>26</v>
      </c>
      <c r="BK41" s="5"/>
    </row>
    <row r="42" spans="1:63" s="9" customFormat="1" ht="11.25">
      <c r="A42" s="9" t="s">
        <v>192</v>
      </c>
      <c r="B42" s="9" t="str">
        <f>"BÉLYEGZŐPÁRNA FESTÉK"</f>
        <v>BÉLYEGZŐPÁRNA FESTÉK</v>
      </c>
      <c r="C42" s="9" t="s">
        <v>12</v>
      </c>
      <c r="D42" s="27" t="s">
        <v>26</v>
      </c>
      <c r="E42" s="4"/>
      <c r="F42" s="4">
        <v>2</v>
      </c>
      <c r="G42" s="4">
        <v>1</v>
      </c>
      <c r="H42" s="22"/>
      <c r="I42" s="4"/>
      <c r="J42" s="4"/>
      <c r="K42" s="4">
        <v>1</v>
      </c>
      <c r="L42" s="4">
        <v>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0"/>
      <c r="AD42" s="4"/>
      <c r="AE42" s="4"/>
      <c r="AF42" s="4"/>
      <c r="AG42" s="4"/>
      <c r="AH42" s="4"/>
      <c r="AI42" s="4"/>
      <c r="AJ42" s="4"/>
      <c r="AK42" s="4"/>
      <c r="AL42" s="4"/>
      <c r="AM42" s="22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5">
        <f t="shared" si="0"/>
        <v>5</v>
      </c>
      <c r="BJ42" s="27" t="s">
        <v>26</v>
      </c>
      <c r="BK42" s="4"/>
    </row>
    <row r="43" spans="2:63" s="8" customFormat="1" ht="11.25" hidden="1">
      <c r="B43" s="9" t="str">
        <f>"BORÍTÉK (PATENTOS) PVC HETZEL"</f>
        <v>BORÍTÉK (PATENTOS) PVC HETZEL</v>
      </c>
      <c r="C43" s="9" t="str">
        <f>"A/4"</f>
        <v>A/4</v>
      </c>
      <c r="D43" s="27"/>
      <c r="E43" s="5"/>
      <c r="F43" s="5"/>
      <c r="G43" s="5"/>
      <c r="H43" s="2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1"/>
      <c r="AD43" s="5"/>
      <c r="AE43" s="5"/>
      <c r="AF43" s="5"/>
      <c r="AG43" s="5"/>
      <c r="AH43" s="5"/>
      <c r="AI43" s="5"/>
      <c r="AJ43" s="5"/>
      <c r="AK43" s="5"/>
      <c r="AL43" s="5"/>
      <c r="AM43" s="22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>
        <f t="shared" si="0"/>
        <v>0</v>
      </c>
      <c r="BJ43" s="27"/>
      <c r="BK43" s="5"/>
    </row>
    <row r="44" spans="2:63" s="8" customFormat="1" ht="11.25" hidden="1">
      <c r="B44" s="9" t="str">
        <f>"BORÍTÉK (PATENTOS) PVC HETZEL"</f>
        <v>BORÍTÉK (PATENTOS) PVC HETZEL</v>
      </c>
      <c r="C44" s="9" t="str">
        <f>"A/5"</f>
        <v>A/5</v>
      </c>
      <c r="D44" s="27"/>
      <c r="E44" s="5"/>
      <c r="F44" s="5"/>
      <c r="G44" s="5"/>
      <c r="H44" s="2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1"/>
      <c r="AD44" s="5"/>
      <c r="AE44" s="5"/>
      <c r="AF44" s="5"/>
      <c r="AG44" s="5"/>
      <c r="AH44" s="5"/>
      <c r="AI44" s="5"/>
      <c r="AJ44" s="5"/>
      <c r="AK44" s="5"/>
      <c r="AL44" s="5"/>
      <c r="AM44" s="22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>
        <f t="shared" si="0"/>
        <v>0</v>
      </c>
      <c r="BJ44" s="27"/>
      <c r="BK44" s="5"/>
    </row>
    <row r="45" spans="2:63" s="8" customFormat="1" ht="11.25" hidden="1">
      <c r="B45" s="9" t="str">
        <f>"BORÍTÉK LÉGPÁRNÁS"</f>
        <v>BORÍTÉK LÉGPÁRNÁS</v>
      </c>
      <c r="C45" s="9"/>
      <c r="D45" s="27"/>
      <c r="E45" s="5"/>
      <c r="F45" s="5"/>
      <c r="G45" s="5"/>
      <c r="H45" s="2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1"/>
      <c r="AD45" s="5"/>
      <c r="AE45" s="5"/>
      <c r="AF45" s="5"/>
      <c r="AG45" s="5"/>
      <c r="AH45" s="5"/>
      <c r="AI45" s="5"/>
      <c r="AJ45" s="5"/>
      <c r="AK45" s="5"/>
      <c r="AL45" s="5"/>
      <c r="AM45" s="22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>
        <f t="shared" si="0"/>
        <v>0</v>
      </c>
      <c r="BJ45" s="27"/>
      <c r="BK45" s="5"/>
    </row>
    <row r="46" spans="2:63" s="8" customFormat="1" ht="11.25" hidden="1">
      <c r="B46" s="9" t="str">
        <f>"CD LEMEZ"</f>
        <v>CD LEMEZ</v>
      </c>
      <c r="C46" s="9" t="str">
        <f>"RW"</f>
        <v>RW</v>
      </c>
      <c r="D46" s="27"/>
      <c r="E46" s="5"/>
      <c r="F46" s="5"/>
      <c r="G46" s="5"/>
      <c r="H46" s="2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1"/>
      <c r="AD46" s="5"/>
      <c r="AE46" s="5"/>
      <c r="AF46" s="5"/>
      <c r="AG46" s="5"/>
      <c r="AH46" s="5"/>
      <c r="AI46" s="5"/>
      <c r="AJ46" s="5"/>
      <c r="AK46" s="5"/>
      <c r="AL46" s="5"/>
      <c r="AM46" s="22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>
        <f t="shared" si="0"/>
        <v>0</v>
      </c>
      <c r="BJ46" s="27"/>
      <c r="BK46" s="5"/>
    </row>
    <row r="47" spans="2:63" s="8" customFormat="1" ht="11.25" hidden="1">
      <c r="B47" s="9" t="str">
        <f>"CD PAPÍRTOK"</f>
        <v>CD PAPÍRTOK</v>
      </c>
      <c r="C47" s="9"/>
      <c r="D47" s="27"/>
      <c r="E47" s="5"/>
      <c r="F47" s="5"/>
      <c r="G47" s="5"/>
      <c r="H47" s="2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1"/>
      <c r="AD47" s="5"/>
      <c r="AE47" s="5"/>
      <c r="AF47" s="5"/>
      <c r="AG47" s="5"/>
      <c r="AH47" s="5"/>
      <c r="AI47" s="5"/>
      <c r="AJ47" s="5"/>
      <c r="AK47" s="5"/>
      <c r="AL47" s="5"/>
      <c r="AM47" s="22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>
        <f t="shared" si="0"/>
        <v>0</v>
      </c>
      <c r="BJ47" s="27"/>
      <c r="BK47" s="5"/>
    </row>
    <row r="48" spans="2:63" s="8" customFormat="1" ht="11.25" hidden="1">
      <c r="B48" s="9" t="str">
        <f>"CD TARTÓ (CIPZÁRAS)"</f>
        <v>CD TARTÓ (CIPZÁRAS)</v>
      </c>
      <c r="C48" s="9"/>
      <c r="D48" s="27"/>
      <c r="E48" s="5"/>
      <c r="F48" s="5"/>
      <c r="G48" s="5"/>
      <c r="H48" s="2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1"/>
      <c r="AD48" s="5"/>
      <c r="AE48" s="5"/>
      <c r="AF48" s="5"/>
      <c r="AG48" s="5"/>
      <c r="AH48" s="5"/>
      <c r="AI48" s="5"/>
      <c r="AJ48" s="5"/>
      <c r="AK48" s="5"/>
      <c r="AL48" s="5"/>
      <c r="AM48" s="22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>
        <f t="shared" si="0"/>
        <v>0</v>
      </c>
      <c r="BJ48" s="27"/>
      <c r="BK48" s="5"/>
    </row>
    <row r="49" spans="2:63" s="8" customFormat="1" ht="11.25" hidden="1">
      <c r="B49" s="9" t="str">
        <f>"CD TARTÓ (FÁBÓL)"</f>
        <v>CD TARTÓ (FÁBÓL)</v>
      </c>
      <c r="C49" s="9"/>
      <c r="D49" s="27"/>
      <c r="E49" s="5"/>
      <c r="F49" s="5"/>
      <c r="G49" s="5"/>
      <c r="H49" s="2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1"/>
      <c r="AD49" s="5"/>
      <c r="AE49" s="5"/>
      <c r="AF49" s="5"/>
      <c r="AG49" s="5"/>
      <c r="AH49" s="5"/>
      <c r="AI49" s="5"/>
      <c r="AJ49" s="5"/>
      <c r="AK49" s="5"/>
      <c r="AL49" s="5"/>
      <c r="AM49" s="22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>
        <f t="shared" si="0"/>
        <v>0</v>
      </c>
      <c r="BJ49" s="27"/>
      <c r="BK49" s="5"/>
    </row>
    <row r="50" spans="2:63" s="8" customFormat="1" ht="11.25" hidden="1">
      <c r="B50" s="9" t="s">
        <v>17</v>
      </c>
      <c r="C50" s="9"/>
      <c r="D50" s="27"/>
      <c r="E50" s="5"/>
      <c r="F50" s="5"/>
      <c r="G50" s="5"/>
      <c r="H50" s="2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1"/>
      <c r="AD50" s="5"/>
      <c r="AE50" s="5"/>
      <c r="AF50" s="5"/>
      <c r="AG50" s="5"/>
      <c r="AH50" s="5"/>
      <c r="AI50" s="5"/>
      <c r="AJ50" s="5"/>
      <c r="AK50" s="5"/>
      <c r="AL50" s="5"/>
      <c r="AM50" s="22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>
        <f t="shared" si="0"/>
        <v>0</v>
      </c>
      <c r="BJ50" s="27"/>
      <c r="BK50" s="5"/>
    </row>
    <row r="51" spans="2:65" s="8" customFormat="1" ht="11.25" hidden="1">
      <c r="B51" s="9" t="s">
        <v>14</v>
      </c>
      <c r="C51" s="9" t="s">
        <v>15</v>
      </c>
      <c r="D51" s="27"/>
      <c r="E51" s="5"/>
      <c r="F51" s="5"/>
      <c r="G51" s="5"/>
      <c r="H51" s="2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1"/>
      <c r="AD51" s="5"/>
      <c r="AE51" s="5"/>
      <c r="AF51" s="5"/>
      <c r="AG51" s="5"/>
      <c r="AH51" s="5"/>
      <c r="AI51" s="5"/>
      <c r="AJ51" s="5"/>
      <c r="AK51" s="5"/>
      <c r="AL51" s="5"/>
      <c r="AM51" s="2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>
        <f t="shared" si="0"/>
        <v>0</v>
      </c>
      <c r="BJ51" s="27"/>
      <c r="BK51" s="5"/>
      <c r="BM51" s="9"/>
    </row>
    <row r="52" spans="2:63" s="9" customFormat="1" ht="11.25" hidden="1">
      <c r="B52" s="9" t="str">
        <f>"CERUZA (ROTRING) PIXIRON"</f>
        <v>CERUZA (ROTRING) PIXIRON</v>
      </c>
      <c r="C52" s="9" t="str">
        <f>"0.5 MM"</f>
        <v>0.5 MM</v>
      </c>
      <c r="D52" s="27" t="s">
        <v>26</v>
      </c>
      <c r="E52" s="4"/>
      <c r="F52" s="4"/>
      <c r="G52" s="4"/>
      <c r="H52" s="2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0"/>
      <c r="AD52" s="4"/>
      <c r="AE52" s="4"/>
      <c r="AF52" s="4"/>
      <c r="AG52" s="4"/>
      <c r="AH52" s="4"/>
      <c r="AI52" s="4"/>
      <c r="AJ52" s="4"/>
      <c r="AK52" s="4"/>
      <c r="AL52" s="4"/>
      <c r="AM52" s="22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5">
        <f t="shared" si="0"/>
        <v>0</v>
      </c>
      <c r="BJ52" s="27" t="s">
        <v>26</v>
      </c>
      <c r="BK52" s="4"/>
    </row>
    <row r="53" spans="2:63" s="9" customFormat="1" ht="11.25" hidden="1">
      <c r="B53" s="9" t="str">
        <f>"CERUZA (ROTRING) PIXIRON"</f>
        <v>CERUZA (ROTRING) PIXIRON</v>
      </c>
      <c r="C53" s="9" t="str">
        <f>"0.7 MM"</f>
        <v>0.7 MM</v>
      </c>
      <c r="D53" s="27" t="s">
        <v>26</v>
      </c>
      <c r="E53" s="4"/>
      <c r="F53" s="4"/>
      <c r="G53" s="4"/>
      <c r="H53" s="2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0"/>
      <c r="AD53" s="4"/>
      <c r="AE53" s="4"/>
      <c r="AF53" s="4"/>
      <c r="AG53" s="4"/>
      <c r="AH53" s="4"/>
      <c r="AI53" s="4"/>
      <c r="AJ53" s="4"/>
      <c r="AK53" s="4"/>
      <c r="AL53" s="4"/>
      <c r="AM53" s="22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5">
        <f t="shared" si="0"/>
        <v>0</v>
      </c>
      <c r="BJ53" s="27" t="s">
        <v>26</v>
      </c>
      <c r="BK53" s="4"/>
    </row>
    <row r="54" spans="1:63" s="8" customFormat="1" ht="11.25">
      <c r="A54" s="8" t="s">
        <v>193</v>
      </c>
      <c r="B54" s="9" t="str">
        <f>"BINDER CSIPESZ (CLIPS)"</f>
        <v>BINDER CSIPESZ (CLIPS)</v>
      </c>
      <c r="C54" s="9" t="s">
        <v>103</v>
      </c>
      <c r="D54" s="27" t="s">
        <v>34</v>
      </c>
      <c r="E54" s="5">
        <v>1</v>
      </c>
      <c r="F54" s="5"/>
      <c r="G54" s="5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1"/>
      <c r="AD54" s="5"/>
      <c r="AE54" s="5"/>
      <c r="AF54" s="5"/>
      <c r="AG54" s="5"/>
      <c r="AH54" s="5"/>
      <c r="AI54" s="5"/>
      <c r="AJ54" s="5"/>
      <c r="AK54" s="5"/>
      <c r="AL54" s="5"/>
      <c r="AM54" s="22"/>
      <c r="AN54" s="5"/>
      <c r="AO54" s="5"/>
      <c r="AP54" s="5"/>
      <c r="AQ54" s="5"/>
      <c r="AR54" s="5"/>
      <c r="AS54" s="5"/>
      <c r="AT54" s="5"/>
      <c r="AU54" s="5"/>
      <c r="AV54" s="5">
        <v>1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>
        <f t="shared" si="0"/>
        <v>2</v>
      </c>
      <c r="BJ54" s="27" t="s">
        <v>34</v>
      </c>
      <c r="BK54" s="5"/>
    </row>
    <row r="55" spans="1:63" s="8" customFormat="1" ht="11.25">
      <c r="A55" s="8" t="s">
        <v>194</v>
      </c>
      <c r="B55" s="9" t="str">
        <f>"BINDER CSIPESZ (CLIPS)"</f>
        <v>BINDER CSIPESZ (CLIPS)</v>
      </c>
      <c r="C55" s="9" t="s">
        <v>102</v>
      </c>
      <c r="D55" s="27" t="s">
        <v>34</v>
      </c>
      <c r="E55" s="5">
        <v>1</v>
      </c>
      <c r="F55" s="5"/>
      <c r="G55" s="5"/>
      <c r="H55" s="22">
        <v>1</v>
      </c>
      <c r="I55" s="5"/>
      <c r="J55" s="5"/>
      <c r="K55" s="5"/>
      <c r="L55" s="5"/>
      <c r="M55" s="5"/>
      <c r="N55" s="5"/>
      <c r="O55" s="5"/>
      <c r="P55" s="5"/>
      <c r="Q55" s="5"/>
      <c r="R55" s="5">
        <v>2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11"/>
      <c r="AD55" s="5"/>
      <c r="AE55" s="5"/>
      <c r="AF55" s="5"/>
      <c r="AG55" s="5"/>
      <c r="AH55" s="5"/>
      <c r="AI55" s="5"/>
      <c r="AJ55" s="5"/>
      <c r="AK55" s="5"/>
      <c r="AL55" s="5"/>
      <c r="AM55" s="22"/>
      <c r="AN55" s="5"/>
      <c r="AO55" s="5"/>
      <c r="AP55" s="5"/>
      <c r="AQ55" s="5"/>
      <c r="AR55" s="5"/>
      <c r="AS55" s="5"/>
      <c r="AT55" s="5"/>
      <c r="AU55" s="5"/>
      <c r="AV55" s="5">
        <v>1</v>
      </c>
      <c r="AW55" s="5"/>
      <c r="AX55" s="5"/>
      <c r="AY55" s="5"/>
      <c r="AZ55" s="5"/>
      <c r="BA55" s="5"/>
      <c r="BB55" s="5"/>
      <c r="BC55" s="5"/>
      <c r="BD55" s="5"/>
      <c r="BE55" s="5">
        <v>2</v>
      </c>
      <c r="BF55" s="5"/>
      <c r="BG55" s="5"/>
      <c r="BH55" s="5"/>
      <c r="BI55" s="5">
        <f t="shared" si="0"/>
        <v>7</v>
      </c>
      <c r="BJ55" s="27" t="s">
        <v>34</v>
      </c>
      <c r="BK55" s="5"/>
    </row>
    <row r="56" spans="1:63" s="8" customFormat="1" ht="11.25">
      <c r="A56" s="8" t="s">
        <v>195</v>
      </c>
      <c r="B56" s="9" t="str">
        <f>"BINDER CSIPESZ (CLIPS)"</f>
        <v>BINDER CSIPESZ (CLIPS)</v>
      </c>
      <c r="C56" s="9" t="s">
        <v>101</v>
      </c>
      <c r="D56" s="27" t="s">
        <v>34</v>
      </c>
      <c r="E56" s="5">
        <v>1</v>
      </c>
      <c r="F56" s="5"/>
      <c r="G56" s="5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1"/>
      <c r="AD56" s="5"/>
      <c r="AE56" s="5"/>
      <c r="AF56" s="5"/>
      <c r="AG56" s="5"/>
      <c r="AH56" s="5"/>
      <c r="AI56" s="5"/>
      <c r="AJ56" s="5"/>
      <c r="AK56" s="5"/>
      <c r="AL56" s="5"/>
      <c r="AM56" s="22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>
        <v>1</v>
      </c>
      <c r="BF56" s="5"/>
      <c r="BG56" s="5"/>
      <c r="BH56" s="5"/>
      <c r="BI56" s="5">
        <f t="shared" si="0"/>
        <v>2</v>
      </c>
      <c r="BJ56" s="27" t="s">
        <v>34</v>
      </c>
      <c r="BK56" s="5"/>
    </row>
    <row r="57" spans="1:63" s="8" customFormat="1" ht="11.25">
      <c r="A57" s="8" t="s">
        <v>196</v>
      </c>
      <c r="B57" s="9" t="str">
        <f>"BINDER CSIPESZ (CLIPS)"</f>
        <v>BINDER CSIPESZ (CLIPS)</v>
      </c>
      <c r="C57" s="9" t="s">
        <v>107</v>
      </c>
      <c r="D57" s="27" t="s">
        <v>34</v>
      </c>
      <c r="E57" s="5">
        <v>1</v>
      </c>
      <c r="F57" s="5"/>
      <c r="G57" s="5"/>
      <c r="H57" s="2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1"/>
      <c r="AD57" s="5"/>
      <c r="AE57" s="5"/>
      <c r="AF57" s="5"/>
      <c r="AG57" s="5"/>
      <c r="AH57" s="5"/>
      <c r="AI57" s="5"/>
      <c r="AJ57" s="5"/>
      <c r="AK57" s="5"/>
      <c r="AL57" s="5"/>
      <c r="AM57" s="22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>
        <v>1</v>
      </c>
      <c r="BF57" s="5"/>
      <c r="BG57" s="5"/>
      <c r="BH57" s="5"/>
      <c r="BI57" s="5">
        <f t="shared" si="0"/>
        <v>2</v>
      </c>
      <c r="BJ57" s="27" t="s">
        <v>34</v>
      </c>
      <c r="BK57" s="5"/>
    </row>
    <row r="58" spans="2:63" s="9" customFormat="1" ht="11.25" hidden="1">
      <c r="B58" s="9" t="s">
        <v>58</v>
      </c>
      <c r="D58" s="22"/>
      <c r="E58" s="4"/>
      <c r="F58" s="4"/>
      <c r="G58" s="4"/>
      <c r="H58" s="2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0"/>
      <c r="AD58" s="4"/>
      <c r="AE58" s="4"/>
      <c r="AF58" s="4"/>
      <c r="AG58" s="4"/>
      <c r="AH58" s="4"/>
      <c r="AI58" s="4"/>
      <c r="AJ58" s="4"/>
      <c r="AK58" s="4"/>
      <c r="AL58" s="4"/>
      <c r="AM58" s="22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5">
        <f t="shared" si="0"/>
        <v>0</v>
      </c>
      <c r="BJ58" s="22"/>
      <c r="BK58" s="4"/>
    </row>
    <row r="59" spans="2:63" s="9" customFormat="1" ht="11.25" hidden="1">
      <c r="B59" s="9" t="s">
        <v>58</v>
      </c>
      <c r="C59" s="9" t="str">
        <f>"DELI 0620"</f>
        <v>DELI 0620</v>
      </c>
      <c r="D59" s="22"/>
      <c r="E59" s="4"/>
      <c r="F59" s="4"/>
      <c r="G59" s="4"/>
      <c r="H59" s="2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0"/>
      <c r="AD59" s="4"/>
      <c r="AE59" s="4"/>
      <c r="AF59" s="4"/>
      <c r="AG59" s="4"/>
      <c r="AH59" s="4"/>
      <c r="AI59" s="4"/>
      <c r="AJ59" s="4"/>
      <c r="AK59" s="4"/>
      <c r="AL59" s="4"/>
      <c r="AM59" s="22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5">
        <f t="shared" si="0"/>
        <v>0</v>
      </c>
      <c r="BJ59" s="22"/>
      <c r="BK59" s="4"/>
    </row>
    <row r="60" spans="2:65" s="9" customFormat="1" ht="11.25" hidden="1">
      <c r="B60" s="9" t="s">
        <v>58</v>
      </c>
      <c r="D60" s="22"/>
      <c r="E60" s="4"/>
      <c r="F60" s="4"/>
      <c r="G60" s="4"/>
      <c r="H60" s="2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0"/>
      <c r="AD60" s="4"/>
      <c r="AE60" s="4"/>
      <c r="AF60" s="4"/>
      <c r="AG60" s="4"/>
      <c r="AH60" s="4"/>
      <c r="AI60" s="4"/>
      <c r="AJ60" s="4"/>
      <c r="AK60" s="4"/>
      <c r="AL60" s="4"/>
      <c r="AM60" s="22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5">
        <f t="shared" si="0"/>
        <v>0</v>
      </c>
      <c r="BJ60" s="22"/>
      <c r="BK60" s="4"/>
      <c r="BM60" s="8"/>
    </row>
    <row r="61" spans="2:63" s="8" customFormat="1" ht="11.25" hidden="1">
      <c r="B61" s="9" t="s">
        <v>58</v>
      </c>
      <c r="C61" s="9" t="str">
        <f>"080X120 CM"</f>
        <v>080X120 CM</v>
      </c>
      <c r="D61" s="27"/>
      <c r="E61" s="5"/>
      <c r="F61" s="5"/>
      <c r="G61" s="5"/>
      <c r="H61" s="2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1"/>
      <c r="AD61" s="5"/>
      <c r="AE61" s="5"/>
      <c r="AF61" s="5"/>
      <c r="AG61" s="5"/>
      <c r="AH61" s="5"/>
      <c r="AI61" s="5"/>
      <c r="AJ61" s="5"/>
      <c r="AK61" s="5"/>
      <c r="AL61" s="5"/>
      <c r="AM61" s="22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>
        <f t="shared" si="0"/>
        <v>0</v>
      </c>
      <c r="BJ61" s="27"/>
      <c r="BK61" s="5"/>
    </row>
    <row r="62" spans="2:65" s="8" customFormat="1" ht="11.25" hidden="1">
      <c r="B62" s="9" t="s">
        <v>58</v>
      </c>
      <c r="C62" s="9" t="str">
        <f>"5KG-OS"</f>
        <v>5KG-OS</v>
      </c>
      <c r="D62" s="27"/>
      <c r="E62" s="5"/>
      <c r="F62" s="5"/>
      <c r="G62" s="5"/>
      <c r="H62" s="2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1"/>
      <c r="AD62" s="5"/>
      <c r="AE62" s="5"/>
      <c r="AF62" s="5"/>
      <c r="AG62" s="5"/>
      <c r="AH62" s="5"/>
      <c r="AI62" s="5"/>
      <c r="AJ62" s="5"/>
      <c r="AK62" s="5"/>
      <c r="AL62" s="5"/>
      <c r="AM62" s="22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>
        <f t="shared" si="0"/>
        <v>0</v>
      </c>
      <c r="BJ62" s="27"/>
      <c r="BK62" s="5"/>
      <c r="BM62" s="9"/>
    </row>
    <row r="63" spans="2:63" s="9" customFormat="1" ht="11.25" hidden="1">
      <c r="B63" s="9" t="s">
        <v>58</v>
      </c>
      <c r="C63" s="9" t="str">
        <f>"A/1"</f>
        <v>A/1</v>
      </c>
      <c r="D63" s="22"/>
      <c r="E63" s="4"/>
      <c r="F63" s="4"/>
      <c r="G63" s="4"/>
      <c r="H63" s="2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0"/>
      <c r="AD63" s="4"/>
      <c r="AE63" s="4"/>
      <c r="AF63" s="4"/>
      <c r="AG63" s="4"/>
      <c r="AH63" s="4"/>
      <c r="AI63" s="4"/>
      <c r="AJ63" s="4"/>
      <c r="AK63" s="4"/>
      <c r="AL63" s="4"/>
      <c r="AM63" s="22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5">
        <f t="shared" si="0"/>
        <v>0</v>
      </c>
      <c r="BJ63" s="22"/>
      <c r="BK63" s="4"/>
    </row>
    <row r="64" spans="2:65" s="9" customFormat="1" ht="11.25" hidden="1">
      <c r="B64" s="9" t="s">
        <v>58</v>
      </c>
      <c r="D64" s="22"/>
      <c r="E64" s="4"/>
      <c r="F64" s="4"/>
      <c r="G64" s="4"/>
      <c r="H64" s="2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10"/>
      <c r="AD64" s="4"/>
      <c r="AE64" s="4"/>
      <c r="AF64" s="4"/>
      <c r="AG64" s="4"/>
      <c r="AH64" s="4"/>
      <c r="AI64" s="4"/>
      <c r="AJ64" s="4"/>
      <c r="AK64" s="4"/>
      <c r="AL64" s="4"/>
      <c r="AM64" s="22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5">
        <f t="shared" si="0"/>
        <v>0</v>
      </c>
      <c r="BJ64" s="22"/>
      <c r="BK64" s="4"/>
      <c r="BM64" s="8"/>
    </row>
    <row r="65" spans="2:63" s="8" customFormat="1" ht="11.25" hidden="1">
      <c r="B65" s="9" t="s">
        <v>58</v>
      </c>
      <c r="C65" s="9"/>
      <c r="D65" s="27"/>
      <c r="E65" s="5"/>
      <c r="F65" s="5"/>
      <c r="G65" s="5"/>
      <c r="H65" s="2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11"/>
      <c r="AD65" s="5"/>
      <c r="AE65" s="5"/>
      <c r="AF65" s="5"/>
      <c r="AG65" s="5"/>
      <c r="AH65" s="5"/>
      <c r="AI65" s="5"/>
      <c r="AJ65" s="5"/>
      <c r="AK65" s="5"/>
      <c r="AL65" s="5"/>
      <c r="AM65" s="22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>
        <f t="shared" si="0"/>
        <v>0</v>
      </c>
      <c r="BJ65" s="27"/>
      <c r="BK65" s="5"/>
    </row>
    <row r="66" spans="2:63" s="8" customFormat="1" ht="11.25" hidden="1">
      <c r="B66" s="9" t="s">
        <v>58</v>
      </c>
      <c r="C66" s="9" t="str">
        <f>"A/4 (20/40-ES)"</f>
        <v>A/4 (20/40-ES)</v>
      </c>
      <c r="D66" s="27"/>
      <c r="E66" s="5"/>
      <c r="F66" s="5"/>
      <c r="G66" s="5"/>
      <c r="H66" s="2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1"/>
      <c r="AD66" s="5"/>
      <c r="AE66" s="5"/>
      <c r="AF66" s="5"/>
      <c r="AG66" s="5"/>
      <c r="AH66" s="5"/>
      <c r="AI66" s="5"/>
      <c r="AJ66" s="5"/>
      <c r="AK66" s="5"/>
      <c r="AL66" s="5"/>
      <c r="AM66" s="22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>
        <f t="shared" si="0"/>
        <v>0</v>
      </c>
      <c r="BJ66" s="27"/>
      <c r="BK66" s="5"/>
    </row>
    <row r="67" spans="2:63" s="8" customFormat="1" ht="11.25" hidden="1">
      <c r="B67" s="9" t="s">
        <v>58</v>
      </c>
      <c r="C67" s="9" t="str">
        <f>"A/4 (40/80-AS)"</f>
        <v>A/4 (40/80-AS)</v>
      </c>
      <c r="D67" s="27"/>
      <c r="E67" s="5"/>
      <c r="F67" s="5"/>
      <c r="G67" s="5"/>
      <c r="H67" s="2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1"/>
      <c r="AD67" s="5"/>
      <c r="AE67" s="5"/>
      <c r="AF67" s="5"/>
      <c r="AG67" s="5"/>
      <c r="AH67" s="5"/>
      <c r="AI67" s="5"/>
      <c r="AJ67" s="5"/>
      <c r="AK67" s="5"/>
      <c r="AL67" s="5"/>
      <c r="AM67" s="22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>
        <f t="shared" si="0"/>
        <v>0</v>
      </c>
      <c r="BJ67" s="27"/>
      <c r="BK67" s="5"/>
    </row>
    <row r="68" spans="1:63" s="8" customFormat="1" ht="11.25">
      <c r="A68" s="8" t="s">
        <v>197</v>
      </c>
      <c r="B68" s="9" t="s">
        <v>157</v>
      </c>
      <c r="C68" s="9" t="s">
        <v>158</v>
      </c>
      <c r="D68" s="27" t="s">
        <v>26</v>
      </c>
      <c r="E68" s="5"/>
      <c r="F68" s="5"/>
      <c r="G68" s="5"/>
      <c r="H68" s="22"/>
      <c r="I68" s="5"/>
      <c r="J68" s="5"/>
      <c r="K68" s="5"/>
      <c r="L68" s="5"/>
      <c r="M68" s="5"/>
      <c r="N68" s="5"/>
      <c r="O68" s="5"/>
      <c r="P68" s="5"/>
      <c r="Q68" s="5">
        <v>10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1"/>
      <c r="AD68" s="5"/>
      <c r="AE68" s="5"/>
      <c r="AF68" s="5"/>
      <c r="AG68" s="5"/>
      <c r="AH68" s="5"/>
      <c r="AI68" s="5"/>
      <c r="AJ68" s="5"/>
      <c r="AK68" s="5"/>
      <c r="AL68" s="5"/>
      <c r="AM68" s="22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>
        <f t="shared" si="0"/>
        <v>10</v>
      </c>
      <c r="BJ68" s="27" t="s">
        <v>26</v>
      </c>
      <c r="BK68" s="5"/>
    </row>
    <row r="69" spans="1:63" s="8" customFormat="1" ht="11.25">
      <c r="A69" s="8" t="s">
        <v>198</v>
      </c>
      <c r="B69" s="9" t="str">
        <f>"BORÍTÉK (ÖNTAPADÓS) SZILIKONOS"</f>
        <v>BORÍTÉK (ÖNTAPADÓS) SZILIKONOS</v>
      </c>
      <c r="C69" s="9" t="s">
        <v>91</v>
      </c>
      <c r="D69" s="27" t="s">
        <v>26</v>
      </c>
      <c r="E69" s="5">
        <v>20</v>
      </c>
      <c r="F69" s="5">
        <v>50</v>
      </c>
      <c r="G69" s="5"/>
      <c r="H69" s="22">
        <v>10</v>
      </c>
      <c r="I69" s="5"/>
      <c r="J69" s="5"/>
      <c r="K69" s="5"/>
      <c r="L69" s="5"/>
      <c r="M69" s="5"/>
      <c r="N69" s="5"/>
      <c r="O69" s="5"/>
      <c r="P69" s="5"/>
      <c r="Q69" s="5">
        <v>50</v>
      </c>
      <c r="R69" s="5"/>
      <c r="S69" s="5"/>
      <c r="T69" s="5">
        <v>20</v>
      </c>
      <c r="U69" s="5"/>
      <c r="V69" s="5"/>
      <c r="W69" s="5"/>
      <c r="X69" s="5"/>
      <c r="Y69" s="5"/>
      <c r="Z69" s="5"/>
      <c r="AA69" s="5"/>
      <c r="AB69" s="5"/>
      <c r="AC69" s="11"/>
      <c r="AD69" s="5"/>
      <c r="AE69" s="5"/>
      <c r="AF69" s="5"/>
      <c r="AG69" s="5"/>
      <c r="AH69" s="5"/>
      <c r="AI69" s="5"/>
      <c r="AJ69" s="5"/>
      <c r="AK69" s="5"/>
      <c r="AL69" s="5"/>
      <c r="AM69" s="22"/>
      <c r="AN69" s="5"/>
      <c r="AO69" s="5"/>
      <c r="AP69" s="5"/>
      <c r="AQ69" s="5"/>
      <c r="AR69" s="5"/>
      <c r="AS69" s="5"/>
      <c r="AT69" s="5"/>
      <c r="AU69" s="5"/>
      <c r="AV69" s="5">
        <v>50</v>
      </c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>
        <f t="shared" si="0"/>
        <v>200</v>
      </c>
      <c r="BJ69" s="27" t="s">
        <v>26</v>
      </c>
      <c r="BK69" s="5"/>
    </row>
    <row r="70" spans="1:63" s="8" customFormat="1" ht="11.25">
      <c r="A70" s="8" t="s">
        <v>199</v>
      </c>
      <c r="B70" s="9" t="str">
        <f>"BORÍTÉK (ÖNTAPADÓS) SZILIKONOS"</f>
        <v>BORÍTÉK (ÖNTAPADÓS) SZILIKONOS</v>
      </c>
      <c r="C70" s="9" t="s">
        <v>89</v>
      </c>
      <c r="D70" s="27" t="s">
        <v>26</v>
      </c>
      <c r="E70" s="5">
        <v>20</v>
      </c>
      <c r="F70" s="5"/>
      <c r="G70" s="5"/>
      <c r="H70" s="22"/>
      <c r="I70" s="5"/>
      <c r="J70" s="32"/>
      <c r="K70" s="5">
        <v>100</v>
      </c>
      <c r="L70" s="5">
        <v>200</v>
      </c>
      <c r="M70" s="5"/>
      <c r="N70" s="5"/>
      <c r="O70" s="5"/>
      <c r="P70" s="5"/>
      <c r="Q70" s="5"/>
      <c r="R70" s="5"/>
      <c r="S70" s="5"/>
      <c r="T70" s="5">
        <v>50</v>
      </c>
      <c r="U70" s="5"/>
      <c r="V70" s="5"/>
      <c r="W70" s="5"/>
      <c r="X70" s="5"/>
      <c r="Y70" s="5"/>
      <c r="Z70" s="5">
        <v>10</v>
      </c>
      <c r="AA70" s="5"/>
      <c r="AB70" s="5"/>
      <c r="AC70" s="11"/>
      <c r="AD70" s="5"/>
      <c r="AE70" s="5"/>
      <c r="AF70" s="5"/>
      <c r="AG70" s="5"/>
      <c r="AH70" s="5"/>
      <c r="AI70" s="5"/>
      <c r="AJ70" s="5"/>
      <c r="AK70" s="5"/>
      <c r="AL70" s="5"/>
      <c r="AM70" s="22"/>
      <c r="AN70" s="5"/>
      <c r="AO70" s="5"/>
      <c r="AP70" s="5"/>
      <c r="AQ70" s="5">
        <v>500</v>
      </c>
      <c r="AR70" s="5"/>
      <c r="AS70" s="5"/>
      <c r="AT70" s="5"/>
      <c r="AU70" s="5"/>
      <c r="AV70" s="5">
        <v>30</v>
      </c>
      <c r="AW70" s="5"/>
      <c r="AX70" s="5"/>
      <c r="AY70" s="5"/>
      <c r="AZ70" s="5"/>
      <c r="BA70" s="5"/>
      <c r="BB70" s="5"/>
      <c r="BC70" s="5"/>
      <c r="BD70" s="5"/>
      <c r="BE70" s="5">
        <v>25</v>
      </c>
      <c r="BF70" s="5"/>
      <c r="BG70" s="5"/>
      <c r="BH70" s="5"/>
      <c r="BI70" s="5">
        <f aca="true" t="shared" si="2" ref="BI70:BI133">SUM(E70:BH70)</f>
        <v>935</v>
      </c>
      <c r="BJ70" s="27" t="s">
        <v>26</v>
      </c>
      <c r="BK70" s="5"/>
    </row>
    <row r="71" spans="1:63" s="8" customFormat="1" ht="11.25">
      <c r="A71" s="8" t="s">
        <v>200</v>
      </c>
      <c r="B71" s="9" t="str">
        <f>"BORÍTÉK (ÖNTAPADÓS) SZILIKONOS"</f>
        <v>BORÍTÉK (ÖNTAPADÓS) SZILIKONOS</v>
      </c>
      <c r="C71" s="9" t="s">
        <v>90</v>
      </c>
      <c r="D71" s="27" t="s">
        <v>26</v>
      </c>
      <c r="E71" s="5">
        <v>30</v>
      </c>
      <c r="F71" s="5"/>
      <c r="G71" s="5"/>
      <c r="H71" s="22"/>
      <c r="I71" s="5"/>
      <c r="J71" s="5"/>
      <c r="K71" s="5">
        <v>300</v>
      </c>
      <c r="L71" s="5">
        <v>200</v>
      </c>
      <c r="M71" s="5"/>
      <c r="N71" s="5"/>
      <c r="O71" s="5"/>
      <c r="P71" s="5"/>
      <c r="Q71" s="5">
        <v>100</v>
      </c>
      <c r="R71" s="5"/>
      <c r="S71" s="5"/>
      <c r="T71" s="5">
        <v>50</v>
      </c>
      <c r="U71" s="5"/>
      <c r="V71" s="5"/>
      <c r="W71" s="5"/>
      <c r="X71" s="5"/>
      <c r="Y71" s="5"/>
      <c r="Z71" s="5">
        <v>10</v>
      </c>
      <c r="AA71" s="5"/>
      <c r="AB71" s="5"/>
      <c r="AC71" s="11"/>
      <c r="AD71" s="5"/>
      <c r="AE71" s="5"/>
      <c r="AF71" s="5"/>
      <c r="AG71" s="5"/>
      <c r="AH71" s="5"/>
      <c r="AI71" s="5"/>
      <c r="AJ71" s="5"/>
      <c r="AK71" s="5"/>
      <c r="AL71" s="5"/>
      <c r="AM71" s="22"/>
      <c r="AN71" s="5"/>
      <c r="AO71" s="5"/>
      <c r="AP71" s="5"/>
      <c r="AQ71" s="5">
        <v>100</v>
      </c>
      <c r="AR71" s="5"/>
      <c r="AS71" s="5"/>
      <c r="AT71" s="5"/>
      <c r="AU71" s="5"/>
      <c r="AV71" s="5">
        <v>20</v>
      </c>
      <c r="AW71" s="5">
        <v>50</v>
      </c>
      <c r="AX71" s="5">
        <v>50</v>
      </c>
      <c r="AY71" s="5"/>
      <c r="AZ71" s="5"/>
      <c r="BA71" s="5"/>
      <c r="BB71" s="5"/>
      <c r="BC71" s="5"/>
      <c r="BD71" s="5"/>
      <c r="BE71" s="5">
        <v>300</v>
      </c>
      <c r="BF71" s="5"/>
      <c r="BG71" s="5"/>
      <c r="BH71" s="5"/>
      <c r="BI71" s="5">
        <f t="shared" si="2"/>
        <v>1210</v>
      </c>
      <c r="BJ71" s="27" t="s">
        <v>26</v>
      </c>
      <c r="BK71" s="5"/>
    </row>
    <row r="72" spans="2:63" s="8" customFormat="1" ht="11.25" hidden="1">
      <c r="B72" s="9" t="str">
        <f aca="true" t="shared" si="3" ref="B72:B79">"DOSSZIÉ (MŰANYAG HÁTLAPOS) FŰZŐS"</f>
        <v>DOSSZIÉ (MŰANYAG HÁTLAPOS) FŰZŐS</v>
      </c>
      <c r="C72" s="9" t="str">
        <f>"A/4"</f>
        <v>A/4</v>
      </c>
      <c r="D72" s="27" t="s">
        <v>26</v>
      </c>
      <c r="E72" s="5"/>
      <c r="F72" s="5"/>
      <c r="G72" s="5"/>
      <c r="H72" s="2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1"/>
      <c r="AD72" s="5"/>
      <c r="AE72" s="5"/>
      <c r="AF72" s="5"/>
      <c r="AG72" s="5"/>
      <c r="AH72" s="5"/>
      <c r="AI72" s="5"/>
      <c r="AJ72" s="5"/>
      <c r="AK72" s="5"/>
      <c r="AL72" s="5"/>
      <c r="AM72" s="22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>
        <f t="shared" si="2"/>
        <v>0</v>
      </c>
      <c r="BJ72" s="27" t="s">
        <v>26</v>
      </c>
      <c r="BK72" s="5"/>
    </row>
    <row r="73" spans="2:63" s="8" customFormat="1" ht="11.25" hidden="1">
      <c r="B73" s="9" t="str">
        <f t="shared" si="3"/>
        <v>DOSSZIÉ (MŰANYAG HÁTLAPOS) FŰZŐS</v>
      </c>
      <c r="C73" s="9" t="str">
        <f>"A/5"</f>
        <v>A/5</v>
      </c>
      <c r="D73" s="27" t="s">
        <v>26</v>
      </c>
      <c r="E73" s="5"/>
      <c r="F73" s="5"/>
      <c r="G73" s="5"/>
      <c r="H73" s="2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11"/>
      <c r="AD73" s="5"/>
      <c r="AE73" s="5"/>
      <c r="AF73" s="5"/>
      <c r="AG73" s="5"/>
      <c r="AH73" s="5"/>
      <c r="AI73" s="5"/>
      <c r="AJ73" s="5"/>
      <c r="AK73" s="5"/>
      <c r="AL73" s="5"/>
      <c r="AM73" s="22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>
        <f t="shared" si="2"/>
        <v>0</v>
      </c>
      <c r="BJ73" s="27" t="s">
        <v>26</v>
      </c>
      <c r="BK73" s="5"/>
    </row>
    <row r="74" spans="2:63" s="8" customFormat="1" ht="11.25" hidden="1">
      <c r="B74" s="9" t="str">
        <f t="shared" si="3"/>
        <v>DOSSZIÉ (MŰANYAG HÁTLAPOS) FŰZŐS</v>
      </c>
      <c r="C74" s="9" t="s">
        <v>13</v>
      </c>
      <c r="D74" s="27" t="s">
        <v>26</v>
      </c>
      <c r="E74" s="5"/>
      <c r="F74" s="5"/>
      <c r="G74" s="5"/>
      <c r="H74" s="2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11"/>
      <c r="AD74" s="5"/>
      <c r="AE74" s="5"/>
      <c r="AF74" s="5"/>
      <c r="AG74" s="5"/>
      <c r="AH74" s="5"/>
      <c r="AI74" s="5"/>
      <c r="AJ74" s="5"/>
      <c r="AK74" s="5"/>
      <c r="AL74" s="5"/>
      <c r="AM74" s="22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>
        <f t="shared" si="2"/>
        <v>0</v>
      </c>
      <c r="BJ74" s="27" t="s">
        <v>26</v>
      </c>
      <c r="BK74" s="5"/>
    </row>
    <row r="75" spans="2:65" s="8" customFormat="1" ht="11.25" hidden="1">
      <c r="B75" s="9" t="str">
        <f t="shared" si="3"/>
        <v>DOSSZIÉ (MŰANYAG HÁTLAPOS) FŰZŐS</v>
      </c>
      <c r="C75" s="9"/>
      <c r="D75" s="27" t="s">
        <v>26</v>
      </c>
      <c r="E75" s="5"/>
      <c r="F75" s="5"/>
      <c r="G75" s="5"/>
      <c r="H75" s="2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1"/>
      <c r="AD75" s="5"/>
      <c r="AE75" s="5"/>
      <c r="AF75" s="5"/>
      <c r="AG75" s="5"/>
      <c r="AH75" s="5"/>
      <c r="AI75" s="5"/>
      <c r="AJ75" s="5"/>
      <c r="AK75" s="5"/>
      <c r="AL75" s="5"/>
      <c r="AM75" s="22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>
        <f t="shared" si="2"/>
        <v>0</v>
      </c>
      <c r="BJ75" s="27" t="s">
        <v>26</v>
      </c>
      <c r="BK75" s="5"/>
      <c r="BM75" s="9"/>
    </row>
    <row r="76" spans="2:63" s="9" customFormat="1" ht="11.25" hidden="1">
      <c r="B76" s="9" t="str">
        <f t="shared" si="3"/>
        <v>DOSSZIÉ (MŰANYAG HÁTLAPOS) FŰZŐS</v>
      </c>
      <c r="D76" s="27" t="s">
        <v>26</v>
      </c>
      <c r="E76" s="4"/>
      <c r="F76" s="4"/>
      <c r="G76" s="4"/>
      <c r="H76" s="2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10"/>
      <c r="AD76" s="4"/>
      <c r="AE76" s="4"/>
      <c r="AF76" s="4"/>
      <c r="AG76" s="4"/>
      <c r="AH76" s="4"/>
      <c r="AI76" s="4"/>
      <c r="AJ76" s="4"/>
      <c r="AK76" s="4"/>
      <c r="AL76" s="4"/>
      <c r="AM76" s="22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5">
        <f t="shared" si="2"/>
        <v>0</v>
      </c>
      <c r="BJ76" s="27" t="s">
        <v>26</v>
      </c>
      <c r="BK76" s="4"/>
    </row>
    <row r="77" spans="2:63" s="9" customFormat="1" ht="11.25" hidden="1">
      <c r="B77" s="9" t="str">
        <f t="shared" si="3"/>
        <v>DOSSZIÉ (MŰANYAG HÁTLAPOS) FŰZŐS</v>
      </c>
      <c r="C77" s="9" t="str">
        <f>"B.318-206"</f>
        <v>B.318-206</v>
      </c>
      <c r="D77" s="27" t="s">
        <v>26</v>
      </c>
      <c r="E77" s="4"/>
      <c r="F77" s="4"/>
      <c r="G77" s="4"/>
      <c r="H77" s="2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10"/>
      <c r="AD77" s="4"/>
      <c r="AE77" s="4"/>
      <c r="AF77" s="4"/>
      <c r="AG77" s="4"/>
      <c r="AH77" s="4"/>
      <c r="AI77" s="4"/>
      <c r="AJ77" s="4"/>
      <c r="AK77" s="4"/>
      <c r="AL77" s="4"/>
      <c r="AM77" s="22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5">
        <f t="shared" si="2"/>
        <v>0</v>
      </c>
      <c r="BJ77" s="27" t="s">
        <v>26</v>
      </c>
      <c r="BK77" s="4"/>
    </row>
    <row r="78" spans="2:63" s="9" customFormat="1" ht="11.25" hidden="1">
      <c r="B78" s="9" t="str">
        <f t="shared" si="3"/>
        <v>DOSSZIÉ (MŰANYAG HÁTLAPOS) FŰZŐS</v>
      </c>
      <c r="C78" s="9" t="str">
        <f>"C.18-72"</f>
        <v>C.18-72</v>
      </c>
      <c r="D78" s="27" t="s">
        <v>26</v>
      </c>
      <c r="E78" s="4"/>
      <c r="F78" s="4"/>
      <c r="G78" s="4"/>
      <c r="H78" s="2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10"/>
      <c r="AD78" s="4"/>
      <c r="AE78" s="4"/>
      <c r="AF78" s="4"/>
      <c r="AG78" s="4"/>
      <c r="AH78" s="4"/>
      <c r="AI78" s="4"/>
      <c r="AJ78" s="4"/>
      <c r="AK78" s="4"/>
      <c r="AL78" s="4"/>
      <c r="AM78" s="22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5">
        <f t="shared" si="2"/>
        <v>0</v>
      </c>
      <c r="BJ78" s="27" t="s">
        <v>26</v>
      </c>
      <c r="BK78" s="4"/>
    </row>
    <row r="79" spans="2:63" s="9" customFormat="1" ht="11.25" hidden="1">
      <c r="B79" s="9" t="str">
        <f t="shared" si="3"/>
        <v>DOSSZIÉ (MŰANYAG HÁTLAPOS) FŰZŐS</v>
      </c>
      <c r="D79" s="27" t="s">
        <v>26</v>
      </c>
      <c r="E79" s="4"/>
      <c r="F79" s="4"/>
      <c r="G79" s="4"/>
      <c r="H79" s="2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10"/>
      <c r="AD79" s="4"/>
      <c r="AE79" s="4"/>
      <c r="AF79" s="4"/>
      <c r="AG79" s="4"/>
      <c r="AH79" s="4"/>
      <c r="AI79" s="4"/>
      <c r="AJ79" s="4"/>
      <c r="AK79" s="4"/>
      <c r="AL79" s="4"/>
      <c r="AM79" s="22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5">
        <f t="shared" si="2"/>
        <v>0</v>
      </c>
      <c r="BJ79" s="27" t="s">
        <v>26</v>
      </c>
      <c r="BK79" s="4"/>
    </row>
    <row r="80" spans="1:63" s="8" customFormat="1" ht="11.25">
      <c r="A80" s="8" t="s">
        <v>201</v>
      </c>
      <c r="B80" s="8" t="s">
        <v>108</v>
      </c>
      <c r="C80" s="8" t="s">
        <v>109</v>
      </c>
      <c r="D80" s="27" t="s">
        <v>26</v>
      </c>
      <c r="E80" s="5">
        <v>5</v>
      </c>
      <c r="F80" s="5"/>
      <c r="G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1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>
        <f t="shared" si="2"/>
        <v>5</v>
      </c>
      <c r="BJ80" s="27" t="s">
        <v>26</v>
      </c>
      <c r="BK80" s="5"/>
    </row>
    <row r="81" spans="1:63" s="8" customFormat="1" ht="11.25">
      <c r="A81" s="8" t="s">
        <v>202</v>
      </c>
      <c r="B81" s="8" t="s">
        <v>142</v>
      </c>
      <c r="C81" s="8" t="s">
        <v>109</v>
      </c>
      <c r="D81" s="27" t="s">
        <v>26</v>
      </c>
      <c r="E81" s="5"/>
      <c r="F81" s="5"/>
      <c r="G81" s="5">
        <v>5</v>
      </c>
      <c r="H81" s="5"/>
      <c r="I81" s="5"/>
      <c r="J81" s="5">
        <v>2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1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>
        <f t="shared" si="2"/>
        <v>7</v>
      </c>
      <c r="BJ81" s="27" t="s">
        <v>26</v>
      </c>
      <c r="BK81" s="5"/>
    </row>
    <row r="82" spans="1:63" s="9" customFormat="1" ht="11.25">
      <c r="A82" s="9" t="s">
        <v>203</v>
      </c>
      <c r="B82" s="9" t="s">
        <v>56</v>
      </c>
      <c r="C82" s="9" t="s">
        <v>16</v>
      </c>
      <c r="D82" s="27" t="s">
        <v>26</v>
      </c>
      <c r="E82" s="4"/>
      <c r="F82" s="4"/>
      <c r="G82" s="4">
        <v>5</v>
      </c>
      <c r="H82" s="22"/>
      <c r="I82" s="4">
        <v>48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v>10</v>
      </c>
      <c r="W82" s="4"/>
      <c r="X82" s="4"/>
      <c r="Y82" s="4"/>
      <c r="Z82" s="4"/>
      <c r="AA82" s="4"/>
      <c r="AB82" s="4"/>
      <c r="AC82" s="10"/>
      <c r="AD82" s="4"/>
      <c r="AE82" s="4"/>
      <c r="AF82" s="4"/>
      <c r="AG82" s="4"/>
      <c r="AH82" s="4"/>
      <c r="AI82" s="4"/>
      <c r="AJ82" s="4"/>
      <c r="AK82" s="4"/>
      <c r="AL82" s="4"/>
      <c r="AM82" s="22"/>
      <c r="AN82" s="4"/>
      <c r="AO82" s="4"/>
      <c r="AP82" s="4"/>
      <c r="AQ82" s="4"/>
      <c r="AR82" s="4"/>
      <c r="AS82" s="4">
        <v>5</v>
      </c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5">
        <f t="shared" si="2"/>
        <v>68</v>
      </c>
      <c r="BJ82" s="27" t="s">
        <v>26</v>
      </c>
      <c r="BK82" s="4"/>
    </row>
    <row r="83" spans="1:63" s="9" customFormat="1" ht="11.25">
      <c r="A83" s="9" t="s">
        <v>204</v>
      </c>
      <c r="B83" s="9" t="s">
        <v>178</v>
      </c>
      <c r="D83" s="27" t="s">
        <v>171</v>
      </c>
      <c r="E83" s="4"/>
      <c r="F83" s="4"/>
      <c r="G83" s="4"/>
      <c r="H83" s="2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>
        <v>1</v>
      </c>
      <c r="W83" s="4"/>
      <c r="X83" s="4"/>
      <c r="Y83" s="4"/>
      <c r="Z83" s="4"/>
      <c r="AA83" s="4"/>
      <c r="AB83" s="4"/>
      <c r="AC83" s="10"/>
      <c r="AD83" s="4"/>
      <c r="AE83" s="4"/>
      <c r="AF83" s="4"/>
      <c r="AG83" s="4"/>
      <c r="AH83" s="4"/>
      <c r="AI83" s="4"/>
      <c r="AJ83" s="4"/>
      <c r="AK83" s="4"/>
      <c r="AL83" s="4"/>
      <c r="AM83" s="22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5">
        <f t="shared" si="2"/>
        <v>1</v>
      </c>
      <c r="BJ83" s="27" t="s">
        <v>171</v>
      </c>
      <c r="BK83" s="4"/>
    </row>
    <row r="84" spans="1:63" s="9" customFormat="1" ht="11.25">
      <c r="A84" s="9" t="s">
        <v>205</v>
      </c>
      <c r="B84" s="9" t="str">
        <f>"CERUZA (ZEBRA) PIXIRON"</f>
        <v>CERUZA (ZEBRA) PIXIRON</v>
      </c>
      <c r="C84" s="9" t="str">
        <f>"0,7 MM"</f>
        <v>0,7 MM</v>
      </c>
      <c r="D84" s="27" t="s">
        <v>26</v>
      </c>
      <c r="E84" s="4"/>
      <c r="F84" s="4">
        <v>5</v>
      </c>
      <c r="G84" s="4"/>
      <c r="H84" s="2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10"/>
      <c r="AD84" s="4"/>
      <c r="AE84" s="4"/>
      <c r="AF84" s="4"/>
      <c r="AG84" s="4"/>
      <c r="AH84" s="4"/>
      <c r="AI84" s="4"/>
      <c r="AJ84" s="4"/>
      <c r="AK84" s="4"/>
      <c r="AL84" s="4"/>
      <c r="AM84" s="22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5">
        <f t="shared" si="2"/>
        <v>5</v>
      </c>
      <c r="BJ84" s="27" t="s">
        <v>26</v>
      </c>
      <c r="BK84" s="4"/>
    </row>
    <row r="85" spans="1:63" s="9" customFormat="1" ht="11.25">
      <c r="A85" s="9" t="s">
        <v>206</v>
      </c>
      <c r="B85" s="9" t="str">
        <f>"CERUZA (ZEBRA) PIXIRON"</f>
        <v>CERUZA (ZEBRA) PIXIRON</v>
      </c>
      <c r="C85" s="9" t="str">
        <f>"0.5 MM"</f>
        <v>0.5 MM</v>
      </c>
      <c r="D85" s="27" t="s">
        <v>26</v>
      </c>
      <c r="E85" s="4">
        <v>1</v>
      </c>
      <c r="F85" s="4"/>
      <c r="G85" s="4"/>
      <c r="H85" s="2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10"/>
      <c r="AD85" s="4"/>
      <c r="AE85" s="4"/>
      <c r="AF85" s="4"/>
      <c r="AG85" s="4"/>
      <c r="AH85" s="4"/>
      <c r="AI85" s="4"/>
      <c r="AJ85" s="4"/>
      <c r="AK85" s="4"/>
      <c r="AL85" s="4"/>
      <c r="AM85" s="22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>
        <v>1</v>
      </c>
      <c r="BA85" s="4"/>
      <c r="BB85" s="4"/>
      <c r="BC85" s="4"/>
      <c r="BD85" s="4"/>
      <c r="BE85" s="4">
        <v>1</v>
      </c>
      <c r="BF85" s="4"/>
      <c r="BG85" s="4"/>
      <c r="BH85" s="4"/>
      <c r="BI85" s="5">
        <f t="shared" si="2"/>
        <v>3</v>
      </c>
      <c r="BJ85" s="27" t="s">
        <v>26</v>
      </c>
      <c r="BK85" s="4"/>
    </row>
    <row r="86" spans="2:63" s="9" customFormat="1" ht="11.25" hidden="1">
      <c r="B86" s="9" t="str">
        <f>"EMELŐGÉP NAPLÓ"</f>
        <v>EMELŐGÉP NAPLÓ</v>
      </c>
      <c r="C86" s="9" t="str">
        <f>"A/5"</f>
        <v>A/5</v>
      </c>
      <c r="D86" s="27" t="s">
        <v>26</v>
      </c>
      <c r="E86" s="4"/>
      <c r="F86" s="4"/>
      <c r="G86" s="4"/>
      <c r="H86" s="22"/>
      <c r="I86" s="4"/>
      <c r="J86" s="4"/>
      <c r="K86" s="4"/>
      <c r="L86" s="4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10"/>
      <c r="AD86" s="4"/>
      <c r="AE86" s="4"/>
      <c r="AF86" s="4"/>
      <c r="AG86" s="4"/>
      <c r="AH86" s="4"/>
      <c r="AI86" s="4"/>
      <c r="AJ86" s="4"/>
      <c r="AK86" s="4"/>
      <c r="AL86" s="4"/>
      <c r="AM86" s="24"/>
      <c r="AN86" s="4"/>
      <c r="AO86" s="6"/>
      <c r="AP86" s="4"/>
      <c r="AQ86" s="4"/>
      <c r="AR86" s="4"/>
      <c r="AS86" s="4"/>
      <c r="AT86" s="4"/>
      <c r="AU86" s="4"/>
      <c r="AV86" s="4"/>
      <c r="AW86" s="4"/>
      <c r="AX86" s="4"/>
      <c r="AY86" s="23"/>
      <c r="AZ86" s="23"/>
      <c r="BA86" s="23"/>
      <c r="BB86" s="23"/>
      <c r="BC86" s="4"/>
      <c r="BD86" s="4"/>
      <c r="BE86" s="4"/>
      <c r="BF86" s="4"/>
      <c r="BG86" s="4"/>
      <c r="BH86" s="4"/>
      <c r="BI86" s="5">
        <f t="shared" si="2"/>
        <v>0</v>
      </c>
      <c r="BJ86" s="27" t="s">
        <v>26</v>
      </c>
      <c r="BK86" s="4"/>
    </row>
    <row r="87" spans="2:63" s="9" customFormat="1" ht="11.25" hidden="1">
      <c r="B87" s="9" t="str">
        <f>"ENGEDÉLY TŰZVESZÉLYES MUNKAVÉGZÉSHEZ"</f>
        <v>ENGEDÉLY TŰZVESZÉLYES MUNKAVÉGZÉSHEZ</v>
      </c>
      <c r="C87" s="9" t="str">
        <f>"A/4 (25X2)"</f>
        <v>A/4 (25X2)</v>
      </c>
      <c r="D87" s="27" t="s">
        <v>26</v>
      </c>
      <c r="E87" s="4"/>
      <c r="F87" s="4"/>
      <c r="G87" s="4"/>
      <c r="H87" s="22"/>
      <c r="I87" s="4"/>
      <c r="J87" s="4"/>
      <c r="K87" s="4"/>
      <c r="L87" s="4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10"/>
      <c r="AD87" s="4"/>
      <c r="AE87" s="4"/>
      <c r="AF87" s="4"/>
      <c r="AG87" s="4"/>
      <c r="AH87" s="4"/>
      <c r="AI87" s="4"/>
      <c r="AJ87" s="4"/>
      <c r="AK87" s="4"/>
      <c r="AL87" s="4"/>
      <c r="AM87" s="24"/>
      <c r="AN87" s="4"/>
      <c r="AO87" s="6"/>
      <c r="AP87" s="4"/>
      <c r="AQ87" s="4"/>
      <c r="AR87" s="4"/>
      <c r="AS87" s="4"/>
      <c r="AT87" s="4"/>
      <c r="AU87" s="4"/>
      <c r="AV87" s="4"/>
      <c r="AW87" s="4"/>
      <c r="AX87" s="4"/>
      <c r="AY87" s="23"/>
      <c r="AZ87" s="23"/>
      <c r="BA87" s="23"/>
      <c r="BB87" s="23"/>
      <c r="BC87" s="4"/>
      <c r="BD87" s="4"/>
      <c r="BE87" s="4"/>
      <c r="BF87" s="4"/>
      <c r="BG87" s="4"/>
      <c r="BH87" s="4"/>
      <c r="BI87" s="5">
        <f t="shared" si="2"/>
        <v>0</v>
      </c>
      <c r="BJ87" s="27" t="s">
        <v>26</v>
      </c>
      <c r="BK87" s="4"/>
    </row>
    <row r="88" spans="2:63" s="9" customFormat="1" ht="11.25" hidden="1">
      <c r="B88" s="9" t="str">
        <f>"ÉPÍTÉSI NAPLÓ (25X3)"</f>
        <v>ÉPÍTÉSI NAPLÓ (25X3)</v>
      </c>
      <c r="C88" s="9" t="str">
        <f>"PÁTRIA"</f>
        <v>PÁTRIA</v>
      </c>
      <c r="D88" s="27" t="s">
        <v>26</v>
      </c>
      <c r="E88" s="4"/>
      <c r="F88" s="4"/>
      <c r="G88" s="4"/>
      <c r="H88" s="22"/>
      <c r="I88" s="4"/>
      <c r="J88" s="4"/>
      <c r="K88" s="4"/>
      <c r="L88" s="4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10"/>
      <c r="AD88" s="4"/>
      <c r="AE88" s="4"/>
      <c r="AF88" s="4"/>
      <c r="AG88" s="4"/>
      <c r="AH88" s="4"/>
      <c r="AI88" s="4"/>
      <c r="AJ88" s="4"/>
      <c r="AK88" s="4"/>
      <c r="AL88" s="4"/>
      <c r="AM88" s="24"/>
      <c r="AN88" s="4"/>
      <c r="AO88" s="6"/>
      <c r="AP88" s="4"/>
      <c r="AQ88" s="4"/>
      <c r="AR88" s="4"/>
      <c r="AS88" s="4"/>
      <c r="AT88" s="4"/>
      <c r="AU88" s="4"/>
      <c r="AV88" s="4"/>
      <c r="AW88" s="4"/>
      <c r="AX88" s="4"/>
      <c r="AY88" s="23"/>
      <c r="AZ88" s="23"/>
      <c r="BA88" s="23"/>
      <c r="BB88" s="23"/>
      <c r="BC88" s="4"/>
      <c r="BD88" s="4"/>
      <c r="BE88" s="4"/>
      <c r="BF88" s="4"/>
      <c r="BG88" s="4"/>
      <c r="BH88" s="4"/>
      <c r="BI88" s="5">
        <f t="shared" si="2"/>
        <v>0</v>
      </c>
      <c r="BJ88" s="27" t="s">
        <v>26</v>
      </c>
      <c r="BK88" s="4"/>
    </row>
    <row r="89" spans="2:63" s="9" customFormat="1" ht="11.25" hidden="1">
      <c r="B89" s="9" t="str">
        <f>"ETIKETT CIMKE"</f>
        <v>ETIKETT CIMKE</v>
      </c>
      <c r="C89" s="9" t="str">
        <f>"105X058 MM"</f>
        <v>105X058 MM</v>
      </c>
      <c r="D89" s="27" t="s">
        <v>26</v>
      </c>
      <c r="E89" s="4"/>
      <c r="F89" s="4"/>
      <c r="G89" s="4"/>
      <c r="H89" s="22"/>
      <c r="I89" s="4"/>
      <c r="J89" s="4"/>
      <c r="K89" s="4"/>
      <c r="L89" s="4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0"/>
      <c r="AD89" s="4"/>
      <c r="AE89" s="4"/>
      <c r="AF89" s="4"/>
      <c r="AG89" s="4"/>
      <c r="AH89" s="4"/>
      <c r="AI89" s="4"/>
      <c r="AJ89" s="4"/>
      <c r="AK89" s="4"/>
      <c r="AL89" s="4"/>
      <c r="AM89" s="24"/>
      <c r="AN89" s="4"/>
      <c r="AO89" s="6"/>
      <c r="AP89" s="4"/>
      <c r="AQ89" s="4"/>
      <c r="AR89" s="4"/>
      <c r="AS89" s="4"/>
      <c r="AT89" s="4"/>
      <c r="AU89" s="4"/>
      <c r="AV89" s="4"/>
      <c r="AW89" s="4"/>
      <c r="AX89" s="4"/>
      <c r="AY89" s="23"/>
      <c r="AZ89" s="23"/>
      <c r="BA89" s="23"/>
      <c r="BB89" s="23"/>
      <c r="BC89" s="4"/>
      <c r="BD89" s="4"/>
      <c r="BE89" s="4"/>
      <c r="BF89" s="4"/>
      <c r="BG89" s="4"/>
      <c r="BH89" s="4"/>
      <c r="BI89" s="5">
        <f t="shared" si="2"/>
        <v>0</v>
      </c>
      <c r="BJ89" s="27" t="s">
        <v>26</v>
      </c>
      <c r="BK89" s="4"/>
    </row>
    <row r="90" spans="2:63" s="9" customFormat="1" ht="11.25" hidden="1">
      <c r="B90" s="9" t="str">
        <f>"ETIKETT CIMKE"</f>
        <v>ETIKETT CIMKE</v>
      </c>
      <c r="C90" s="9" t="str">
        <f>"35 MM"</f>
        <v>35 MM</v>
      </c>
      <c r="D90" s="27" t="s">
        <v>26</v>
      </c>
      <c r="E90" s="4"/>
      <c r="F90" s="4"/>
      <c r="G90" s="4"/>
      <c r="H90" s="22"/>
      <c r="I90" s="4"/>
      <c r="J90" s="4"/>
      <c r="K90" s="4"/>
      <c r="L90" s="4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10"/>
      <c r="AD90" s="4"/>
      <c r="AE90" s="4"/>
      <c r="AF90" s="4"/>
      <c r="AG90" s="4"/>
      <c r="AH90" s="4"/>
      <c r="AI90" s="4"/>
      <c r="AJ90" s="4"/>
      <c r="AK90" s="4"/>
      <c r="AL90" s="4"/>
      <c r="AM90" s="24"/>
      <c r="AN90" s="4"/>
      <c r="AO90" s="6"/>
      <c r="AP90" s="4"/>
      <c r="AQ90" s="4"/>
      <c r="AR90" s="4"/>
      <c r="AS90" s="4"/>
      <c r="AT90" s="4"/>
      <c r="AU90" s="4"/>
      <c r="AV90" s="4"/>
      <c r="AW90" s="4"/>
      <c r="AX90" s="4"/>
      <c r="AY90" s="23"/>
      <c r="AZ90" s="23"/>
      <c r="BA90" s="23"/>
      <c r="BB90" s="23"/>
      <c r="BC90" s="4"/>
      <c r="BD90" s="4"/>
      <c r="BE90" s="4"/>
      <c r="BF90" s="4"/>
      <c r="BG90" s="4"/>
      <c r="BH90" s="4"/>
      <c r="BI90" s="5">
        <f t="shared" si="2"/>
        <v>0</v>
      </c>
      <c r="BJ90" s="27" t="s">
        <v>26</v>
      </c>
      <c r="BK90" s="4"/>
    </row>
    <row r="91" spans="2:63" s="9" customFormat="1" ht="11.25" hidden="1">
      <c r="B91" s="9" t="str">
        <f>"ETIKETT CIMKE"</f>
        <v>ETIKETT CIMKE</v>
      </c>
      <c r="D91" s="27" t="s">
        <v>26</v>
      </c>
      <c r="E91" s="4"/>
      <c r="F91" s="4"/>
      <c r="G91" s="4"/>
      <c r="H91" s="22"/>
      <c r="I91" s="4"/>
      <c r="J91" s="4"/>
      <c r="K91" s="4"/>
      <c r="L91" s="4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10"/>
      <c r="AD91" s="4"/>
      <c r="AE91" s="4"/>
      <c r="AF91" s="4"/>
      <c r="AG91" s="4"/>
      <c r="AH91" s="4"/>
      <c r="AI91" s="4"/>
      <c r="AJ91" s="4"/>
      <c r="AK91" s="4"/>
      <c r="AL91" s="4"/>
      <c r="AM91" s="24"/>
      <c r="AN91" s="4"/>
      <c r="AO91" s="6"/>
      <c r="AP91" s="4"/>
      <c r="AQ91" s="4"/>
      <c r="AR91" s="4"/>
      <c r="AS91" s="4"/>
      <c r="AT91" s="4"/>
      <c r="AU91" s="4"/>
      <c r="AV91" s="4"/>
      <c r="AW91" s="4"/>
      <c r="AX91" s="4"/>
      <c r="AY91" s="23"/>
      <c r="AZ91" s="23"/>
      <c r="BA91" s="23"/>
      <c r="BB91" s="23"/>
      <c r="BC91" s="4"/>
      <c r="BD91" s="4"/>
      <c r="BE91" s="4"/>
      <c r="BF91" s="4"/>
      <c r="BG91" s="4"/>
      <c r="BH91" s="4"/>
      <c r="BI91" s="5">
        <f t="shared" si="2"/>
        <v>0</v>
      </c>
      <c r="BJ91" s="27" t="s">
        <v>26</v>
      </c>
      <c r="BK91" s="4"/>
    </row>
    <row r="92" spans="1:63" s="8" customFormat="1" ht="11.25">
      <c r="A92" s="8" t="s">
        <v>207</v>
      </c>
      <c r="B92" s="9" t="s">
        <v>113</v>
      </c>
      <c r="C92" s="9" t="str">
        <f>"0,7 MM"</f>
        <v>0,7 MM</v>
      </c>
      <c r="D92" s="27" t="s">
        <v>26</v>
      </c>
      <c r="E92" s="5"/>
      <c r="F92" s="5"/>
      <c r="G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11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4">
        <v>2</v>
      </c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>
        <f t="shared" si="2"/>
        <v>2</v>
      </c>
      <c r="BJ92" s="27" t="s">
        <v>26</v>
      </c>
      <c r="BK92" s="5"/>
    </row>
    <row r="93" spans="1:63" s="9" customFormat="1" ht="11.25">
      <c r="A93" s="9" t="s">
        <v>208</v>
      </c>
      <c r="B93" s="9" t="s">
        <v>58</v>
      </c>
      <c r="C93" s="9" t="str">
        <f>"0,5 MM"</f>
        <v>0,5 MM</v>
      </c>
      <c r="D93" s="27" t="s">
        <v>26</v>
      </c>
      <c r="E93" s="4">
        <v>1</v>
      </c>
      <c r="F93" s="4"/>
      <c r="G93" s="4">
        <v>3</v>
      </c>
      <c r="H93" s="22"/>
      <c r="I93" s="4"/>
      <c r="J93" s="4"/>
      <c r="K93" s="4">
        <v>2</v>
      </c>
      <c r="L93" s="4">
        <v>2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10"/>
      <c r="AD93" s="4"/>
      <c r="AE93" s="4"/>
      <c r="AF93" s="4"/>
      <c r="AG93" s="4"/>
      <c r="AH93" s="4"/>
      <c r="AI93" s="4"/>
      <c r="AJ93" s="4"/>
      <c r="AK93" s="4"/>
      <c r="AL93" s="4"/>
      <c r="AM93" s="22"/>
      <c r="AN93" s="4"/>
      <c r="AO93" s="4"/>
      <c r="AP93" s="4"/>
      <c r="AQ93" s="4"/>
      <c r="AR93" s="4"/>
      <c r="AS93" s="4"/>
      <c r="AT93" s="4"/>
      <c r="AU93" s="4"/>
      <c r="AV93" s="4">
        <v>2</v>
      </c>
      <c r="AW93" s="4">
        <v>2</v>
      </c>
      <c r="AX93" s="4">
        <v>2</v>
      </c>
      <c r="AY93" s="4"/>
      <c r="AZ93" s="4">
        <v>2</v>
      </c>
      <c r="BA93" s="4"/>
      <c r="BB93" s="4"/>
      <c r="BC93" s="4"/>
      <c r="BD93" s="4"/>
      <c r="BE93" s="4">
        <v>1</v>
      </c>
      <c r="BF93" s="4"/>
      <c r="BG93" s="4"/>
      <c r="BH93" s="4"/>
      <c r="BI93" s="5">
        <f t="shared" si="2"/>
        <v>17</v>
      </c>
      <c r="BJ93" s="27" t="s">
        <v>26</v>
      </c>
      <c r="BK93" s="4"/>
    </row>
    <row r="94" spans="2:63" s="9" customFormat="1" ht="11.25" hidden="1">
      <c r="B94" s="9" t="str">
        <f>"ETIKETT CIMKE (DATALINE)"</f>
        <v>ETIKETT CIMKE (DATALINE)</v>
      </c>
      <c r="C94" s="9" t="str">
        <f>"99,1X57 MM"</f>
        <v>99,1X57 MM</v>
      </c>
      <c r="D94" s="22"/>
      <c r="E94" s="4"/>
      <c r="F94" s="4"/>
      <c r="G94" s="4"/>
      <c r="H94" s="2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10"/>
      <c r="AD94" s="4"/>
      <c r="AE94" s="4"/>
      <c r="AF94" s="4"/>
      <c r="AG94" s="4"/>
      <c r="AH94" s="4"/>
      <c r="AI94" s="4"/>
      <c r="AJ94" s="4"/>
      <c r="AK94" s="4"/>
      <c r="AL94" s="4"/>
      <c r="AM94" s="22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5">
        <f t="shared" si="2"/>
        <v>0</v>
      </c>
      <c r="BJ94" s="22"/>
      <c r="BK94" s="4"/>
    </row>
    <row r="95" spans="2:63" s="9" customFormat="1" ht="11.25" hidden="1">
      <c r="B95" s="9" t="str">
        <f>"ETIKETT CIMKE (PÁTRIA)"</f>
        <v>ETIKETT CIMKE (PÁTRIA)</v>
      </c>
      <c r="C95" s="9" t="str">
        <f>"115X086 MM"</f>
        <v>115X086 MM</v>
      </c>
      <c r="D95" s="22"/>
      <c r="E95" s="4"/>
      <c r="F95" s="4"/>
      <c r="G95" s="4"/>
      <c r="H95" s="2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10"/>
      <c r="AD95" s="4"/>
      <c r="AE95" s="4"/>
      <c r="AF95" s="4"/>
      <c r="AG95" s="4"/>
      <c r="AH95" s="4"/>
      <c r="AI95" s="4"/>
      <c r="AJ95" s="4"/>
      <c r="AK95" s="4"/>
      <c r="AL95" s="4"/>
      <c r="AM95" s="22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5">
        <f t="shared" si="2"/>
        <v>0</v>
      </c>
      <c r="BJ95" s="22"/>
      <c r="BK95" s="4"/>
    </row>
    <row r="96" spans="2:63" s="9" customFormat="1" ht="11.25" hidden="1">
      <c r="B96" s="9" t="str">
        <f>"ETIKETT CIMKE (PÁTRIA)"</f>
        <v>ETIKETT CIMKE (PÁTRIA)</v>
      </c>
      <c r="C96" s="9" t="str">
        <f>"63,5X38,1 MM"</f>
        <v>63,5X38,1 MM</v>
      </c>
      <c r="D96" s="22"/>
      <c r="E96" s="4"/>
      <c r="F96" s="4"/>
      <c r="G96" s="4"/>
      <c r="H96" s="2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10"/>
      <c r="AD96" s="4"/>
      <c r="AE96" s="4"/>
      <c r="AF96" s="4"/>
      <c r="AG96" s="4"/>
      <c r="AH96" s="4"/>
      <c r="AI96" s="4"/>
      <c r="AJ96" s="4"/>
      <c r="AK96" s="4"/>
      <c r="AL96" s="4"/>
      <c r="AM96" s="22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5">
        <f t="shared" si="2"/>
        <v>0</v>
      </c>
      <c r="BJ96" s="22"/>
      <c r="BK96" s="4"/>
    </row>
    <row r="97" spans="2:63" s="9" customFormat="1" ht="11.25" hidden="1">
      <c r="B97" s="9" t="str">
        <f>"ETIKETT CIMKE (PÁTRIA)"</f>
        <v>ETIKETT CIMKE (PÁTRIA)</v>
      </c>
      <c r="C97" s="9" t="str">
        <f>"89,0X35,0 MM"</f>
        <v>89,0X35,0 MM</v>
      </c>
      <c r="D97" s="22"/>
      <c r="E97" s="4"/>
      <c r="F97" s="4"/>
      <c r="G97" s="4"/>
      <c r="H97" s="2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10"/>
      <c r="AD97" s="4"/>
      <c r="AE97" s="4"/>
      <c r="AF97" s="4"/>
      <c r="AG97" s="4"/>
      <c r="AH97" s="4"/>
      <c r="AI97" s="4"/>
      <c r="AJ97" s="4"/>
      <c r="AK97" s="4"/>
      <c r="AL97" s="4"/>
      <c r="AM97" s="22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5">
        <f t="shared" si="2"/>
        <v>0</v>
      </c>
      <c r="BJ97" s="22"/>
      <c r="BK97" s="4"/>
    </row>
    <row r="98" spans="2:63" s="9" customFormat="1" ht="11.25" hidden="1">
      <c r="B98" s="9" t="str">
        <f>"ETIKETT CIMKE (STENDFORM)"</f>
        <v>ETIKETT CIMKE (STENDFORM)</v>
      </c>
      <c r="C98" s="9" t="str">
        <f>"210X148 MM"</f>
        <v>210X148 MM</v>
      </c>
      <c r="D98" s="22"/>
      <c r="E98" s="4"/>
      <c r="F98" s="4"/>
      <c r="G98" s="4"/>
      <c r="H98" s="2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10"/>
      <c r="AD98" s="4"/>
      <c r="AE98" s="4"/>
      <c r="AF98" s="4"/>
      <c r="AG98" s="4"/>
      <c r="AH98" s="4"/>
      <c r="AI98" s="4"/>
      <c r="AJ98" s="4"/>
      <c r="AK98" s="4"/>
      <c r="AL98" s="4"/>
      <c r="AM98" s="22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5">
        <f t="shared" si="2"/>
        <v>0</v>
      </c>
      <c r="BJ98" s="22"/>
      <c r="BK98" s="4"/>
    </row>
    <row r="99" spans="2:63" s="9" customFormat="1" ht="11.25" hidden="1">
      <c r="B99" s="9" t="str">
        <f>"ETIKETT CIMKE (STENDFORM)"</f>
        <v>ETIKETT CIMKE (STENDFORM)</v>
      </c>
      <c r="C99" s="9" t="str">
        <f>"210X297 MM"</f>
        <v>210X297 MM</v>
      </c>
      <c r="D99" s="22"/>
      <c r="E99" s="4"/>
      <c r="F99" s="4"/>
      <c r="G99" s="4"/>
      <c r="H99" s="2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10"/>
      <c r="AD99" s="4"/>
      <c r="AE99" s="4"/>
      <c r="AF99" s="4"/>
      <c r="AG99" s="4"/>
      <c r="AH99" s="4"/>
      <c r="AI99" s="4"/>
      <c r="AJ99" s="4"/>
      <c r="AK99" s="4"/>
      <c r="AL99" s="4"/>
      <c r="AM99" s="22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5">
        <f t="shared" si="2"/>
        <v>0</v>
      </c>
      <c r="BJ99" s="22"/>
      <c r="BK99" s="4"/>
    </row>
    <row r="100" spans="2:63" s="9" customFormat="1" ht="11.25" hidden="1">
      <c r="B100" s="9" t="str">
        <f>"FAXFILM (FÓLIA)"</f>
        <v>FAXFILM (FÓLIA)</v>
      </c>
      <c r="C100" s="9" t="str">
        <f>"PANASONIC KX-FA 54X"</f>
        <v>PANASONIC KX-FA 54X</v>
      </c>
      <c r="D100" s="22"/>
      <c r="E100" s="4"/>
      <c r="F100" s="4"/>
      <c r="G100" s="4"/>
      <c r="H100" s="2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10"/>
      <c r="AD100" s="4"/>
      <c r="AE100" s="4"/>
      <c r="AF100" s="4"/>
      <c r="AG100" s="4"/>
      <c r="AH100" s="4"/>
      <c r="AI100" s="4"/>
      <c r="AJ100" s="4"/>
      <c r="AK100" s="4"/>
      <c r="AL100" s="4"/>
      <c r="AM100" s="22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5">
        <f t="shared" si="2"/>
        <v>0</v>
      </c>
      <c r="BJ100" s="22"/>
      <c r="BK100" s="4"/>
    </row>
    <row r="101" spans="2:65" s="8" customFormat="1" ht="11.25" hidden="1">
      <c r="B101" s="9" t="str">
        <f>"FELÍRÓTÁBLA"</f>
        <v>FELÍRÓTÁBLA</v>
      </c>
      <c r="C101" s="9" t="str">
        <f>"A/4"</f>
        <v>A/4</v>
      </c>
      <c r="D101" s="27"/>
      <c r="E101" s="5"/>
      <c r="F101" s="5"/>
      <c r="G101" s="5"/>
      <c r="H101" s="2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1"/>
      <c r="AD101" s="5"/>
      <c r="AE101" s="5"/>
      <c r="AF101" s="5"/>
      <c r="AG101" s="5"/>
      <c r="AH101" s="5"/>
      <c r="AI101" s="5"/>
      <c r="AJ101" s="5"/>
      <c r="AK101" s="5"/>
      <c r="AL101" s="5"/>
      <c r="AM101" s="22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>
        <f t="shared" si="2"/>
        <v>0</v>
      </c>
      <c r="BJ101" s="27"/>
      <c r="BK101" s="5"/>
      <c r="BM101" s="9"/>
    </row>
    <row r="102" spans="2:63" s="9" customFormat="1" ht="11.25" hidden="1">
      <c r="B102" s="9" t="str">
        <f>"FELTÉTEL MEGHATÁROZÁS ALKALOMSZERŰ"</f>
        <v>FELTÉTEL MEGHATÁROZÁS ALKALOMSZERŰ</v>
      </c>
      <c r="C102" s="9" t="str">
        <f>"TŰZVESZÉLYES TEVÉKENYSÉG VÉGZÉSÉHEZ"</f>
        <v>TŰZVESZÉLYES TEVÉKENYSÉG VÉGZÉSÉHEZ</v>
      </c>
      <c r="D102" s="22"/>
      <c r="E102" s="4"/>
      <c r="F102" s="4"/>
      <c r="G102" s="4"/>
      <c r="H102" s="22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0"/>
      <c r="AD102" s="4"/>
      <c r="AE102" s="4"/>
      <c r="AF102" s="4"/>
      <c r="AG102" s="4"/>
      <c r="AH102" s="4"/>
      <c r="AI102" s="4"/>
      <c r="AJ102" s="4"/>
      <c r="AK102" s="4"/>
      <c r="AL102" s="4"/>
      <c r="AM102" s="22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5">
        <f t="shared" si="2"/>
        <v>0</v>
      </c>
      <c r="BJ102" s="22"/>
      <c r="BK102" s="4"/>
    </row>
    <row r="103" spans="2:65" s="9" customFormat="1" ht="11.25" hidden="1">
      <c r="B103" s="9" t="str">
        <f>"FELVÁSÁRLÁSI JEGY"</f>
        <v>FELVÁSÁRLÁSI JEGY</v>
      </c>
      <c r="D103" s="22"/>
      <c r="E103" s="4"/>
      <c r="F103" s="4"/>
      <c r="G103" s="4"/>
      <c r="H103" s="2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0"/>
      <c r="AD103" s="4"/>
      <c r="AE103" s="4"/>
      <c r="AF103" s="4"/>
      <c r="AG103" s="4"/>
      <c r="AH103" s="4"/>
      <c r="AI103" s="4"/>
      <c r="AJ103" s="4"/>
      <c r="AK103" s="4"/>
      <c r="AL103" s="4"/>
      <c r="AM103" s="22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5">
        <f t="shared" si="2"/>
        <v>0</v>
      </c>
      <c r="BJ103" s="22"/>
      <c r="BK103" s="4"/>
      <c r="BM103" s="8"/>
    </row>
    <row r="104" spans="2:63" s="8" customFormat="1" ht="11.25" hidden="1">
      <c r="B104" s="9" t="str">
        <f>"FÉNYMÁSOLÓ PAPÍR (CANON)"</f>
        <v>FÉNYMÁSOLÓ PAPÍR (CANON)</v>
      </c>
      <c r="C104" s="9" t="str">
        <f>"A/4 (80 GRAMM)"</f>
        <v>A/4 (80 GRAMM)</v>
      </c>
      <c r="D104" s="27"/>
      <c r="E104" s="5"/>
      <c r="F104" s="5"/>
      <c r="G104" s="5"/>
      <c r="H104" s="2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1"/>
      <c r="AD104" s="5"/>
      <c r="AE104" s="5"/>
      <c r="AF104" s="5"/>
      <c r="AG104" s="5"/>
      <c r="AH104" s="5"/>
      <c r="AI104" s="5"/>
      <c r="AJ104" s="5"/>
      <c r="AK104" s="5"/>
      <c r="AL104" s="5"/>
      <c r="AM104" s="22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>
        <f t="shared" si="2"/>
        <v>0</v>
      </c>
      <c r="BJ104" s="27"/>
      <c r="BK104" s="5"/>
    </row>
    <row r="105" spans="2:63" s="8" customFormat="1" ht="11.25" hidden="1">
      <c r="B105" s="9" t="str">
        <f>"FÉNYMÁSOLÓ PAPÍR (CLAIREFONTAINE)"</f>
        <v>FÉNYMÁSOLÓ PAPÍR (CLAIREFONTAINE)</v>
      </c>
      <c r="C105" s="9" t="str">
        <f>"A/4"</f>
        <v>A/4</v>
      </c>
      <c r="D105" s="27"/>
      <c r="E105" s="5"/>
      <c r="F105" s="5"/>
      <c r="G105" s="5"/>
      <c r="H105" s="2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1"/>
      <c r="AD105" s="5"/>
      <c r="AE105" s="5"/>
      <c r="AF105" s="5"/>
      <c r="AG105" s="5"/>
      <c r="AH105" s="5"/>
      <c r="AI105" s="5"/>
      <c r="AJ105" s="5"/>
      <c r="AK105" s="5"/>
      <c r="AL105" s="5"/>
      <c r="AM105" s="22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>
        <f t="shared" si="2"/>
        <v>0</v>
      </c>
      <c r="BJ105" s="27"/>
      <c r="BK105" s="5"/>
    </row>
    <row r="106" spans="2:63" s="8" customFormat="1" ht="11.25" hidden="1">
      <c r="B106" s="9" t="str">
        <f>"FÉNYMÁSOLÓ PAPÍR (IBM)"</f>
        <v>FÉNYMÁSOLÓ PAPÍR (IBM)</v>
      </c>
      <c r="C106" s="9" t="str">
        <f>"A/4 (80 GRAMM)"</f>
        <v>A/4 (80 GRAMM)</v>
      </c>
      <c r="D106" s="27"/>
      <c r="E106" s="5"/>
      <c r="F106" s="5"/>
      <c r="G106" s="5"/>
      <c r="H106" s="2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1"/>
      <c r="AD106" s="5"/>
      <c r="AE106" s="5"/>
      <c r="AF106" s="5"/>
      <c r="AG106" s="5"/>
      <c r="AH106" s="5"/>
      <c r="AI106" s="5"/>
      <c r="AJ106" s="5"/>
      <c r="AK106" s="5"/>
      <c r="AL106" s="5"/>
      <c r="AM106" s="22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>
        <f t="shared" si="2"/>
        <v>0</v>
      </c>
      <c r="BJ106" s="27"/>
      <c r="BK106" s="5"/>
    </row>
    <row r="107" spans="2:63" s="8" customFormat="1" ht="11.25" hidden="1">
      <c r="B107" s="9" t="str">
        <f>"FÉNYMÁSOLÓ PAPÍR (REY COPY)"</f>
        <v>FÉNYMÁSOLÓ PAPÍR (REY COPY)</v>
      </c>
      <c r="C107" s="9" t="str">
        <f>"A/3 (80 GRAMM)"</f>
        <v>A/3 (80 GRAMM)</v>
      </c>
      <c r="D107" s="27"/>
      <c r="E107" s="5"/>
      <c r="F107" s="5"/>
      <c r="G107" s="5"/>
      <c r="H107" s="2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11"/>
      <c r="AD107" s="5"/>
      <c r="AE107" s="5"/>
      <c r="AF107" s="5"/>
      <c r="AG107" s="5"/>
      <c r="AH107" s="5"/>
      <c r="AI107" s="5"/>
      <c r="AJ107" s="5"/>
      <c r="AK107" s="5"/>
      <c r="AL107" s="5"/>
      <c r="AM107" s="22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>
        <f t="shared" si="2"/>
        <v>0</v>
      </c>
      <c r="BJ107" s="27"/>
      <c r="BK107" s="5"/>
    </row>
    <row r="108" spans="2:63" s="8" customFormat="1" ht="11.25" hidden="1">
      <c r="B108" s="9" t="str">
        <f>"FÉNYMÁSOLÓ PAPÍR (REY COPY)"</f>
        <v>FÉNYMÁSOLÓ PAPÍR (REY COPY)</v>
      </c>
      <c r="C108" s="9" t="str">
        <f>"A/4 (80 GRAMM)"</f>
        <v>A/4 (80 GRAMM)</v>
      </c>
      <c r="D108" s="27"/>
      <c r="E108" s="5"/>
      <c r="F108" s="5"/>
      <c r="G108" s="5"/>
      <c r="H108" s="2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11"/>
      <c r="AD108" s="5"/>
      <c r="AE108" s="5"/>
      <c r="AF108" s="5"/>
      <c r="AG108" s="5"/>
      <c r="AH108" s="5"/>
      <c r="AI108" s="5"/>
      <c r="AJ108" s="5"/>
      <c r="AK108" s="5"/>
      <c r="AL108" s="5"/>
      <c r="AM108" s="22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>
        <f t="shared" si="2"/>
        <v>0</v>
      </c>
      <c r="BJ108" s="27"/>
      <c r="BK108" s="5"/>
    </row>
    <row r="109" spans="1:63" s="9" customFormat="1" ht="11.25">
      <c r="A109" s="9" t="s">
        <v>209</v>
      </c>
      <c r="B109" s="9" t="str">
        <f>"DOSSZIÉ (MŰANYAG HÁTLAPOS) FŰZŐS"</f>
        <v>DOSSZIÉ (MŰANYAG HÁTLAPOS) FŰZŐS</v>
      </c>
      <c r="C109" s="9" t="s">
        <v>139</v>
      </c>
      <c r="D109" s="27" t="s">
        <v>26</v>
      </c>
      <c r="E109" s="4">
        <v>10</v>
      </c>
      <c r="F109" s="4"/>
      <c r="G109" s="4">
        <v>10</v>
      </c>
      <c r="H109" s="22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10"/>
      <c r="AD109" s="4"/>
      <c r="AE109" s="4"/>
      <c r="AF109" s="4"/>
      <c r="AG109" s="4"/>
      <c r="AH109" s="4"/>
      <c r="AI109" s="4"/>
      <c r="AJ109" s="4"/>
      <c r="AK109" s="4"/>
      <c r="AL109" s="4"/>
      <c r="AM109" s="22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5">
        <f t="shared" si="2"/>
        <v>20</v>
      </c>
      <c r="BJ109" s="27" t="s">
        <v>26</v>
      </c>
      <c r="BK109" s="4"/>
    </row>
    <row r="110" spans="2:63" s="9" customFormat="1" ht="11.25" hidden="1">
      <c r="B110" s="9" t="str">
        <f>"FESTÉFHENGER 1220C."</f>
        <v>FESTÉFHENGER 1220C.</v>
      </c>
      <c r="D110" s="22"/>
      <c r="E110" s="4"/>
      <c r="F110" s="4"/>
      <c r="G110" s="4"/>
      <c r="H110" s="22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10"/>
      <c r="AD110" s="4"/>
      <c r="AE110" s="4"/>
      <c r="AF110" s="4"/>
      <c r="AG110" s="4"/>
      <c r="AH110" s="4"/>
      <c r="AI110" s="4"/>
      <c r="AJ110" s="4"/>
      <c r="AK110" s="4"/>
      <c r="AL110" s="4"/>
      <c r="AM110" s="22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5">
        <f t="shared" si="2"/>
        <v>0</v>
      </c>
      <c r="BJ110" s="22"/>
      <c r="BK110" s="4"/>
    </row>
    <row r="111" spans="2:63" s="9" customFormat="1" ht="11.25" hidden="1">
      <c r="B111" s="9" t="str">
        <f>"FESTÉFHENGER HP 7115"</f>
        <v>FESTÉFHENGER HP 7115</v>
      </c>
      <c r="D111" s="22"/>
      <c r="E111" s="4"/>
      <c r="F111" s="4"/>
      <c r="G111" s="4"/>
      <c r="H111" s="22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10"/>
      <c r="AD111" s="4"/>
      <c r="AE111" s="4"/>
      <c r="AF111" s="4"/>
      <c r="AG111" s="4"/>
      <c r="AH111" s="4"/>
      <c r="AI111" s="4"/>
      <c r="AJ111" s="4"/>
      <c r="AK111" s="4"/>
      <c r="AL111" s="4"/>
      <c r="AM111" s="22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5">
        <f t="shared" si="2"/>
        <v>0</v>
      </c>
      <c r="BJ111" s="22"/>
      <c r="BK111" s="4"/>
    </row>
    <row r="112" spans="2:63" s="9" customFormat="1" ht="11.25" hidden="1">
      <c r="B112" s="9" t="str">
        <f>"FESTÉKHENGER (720MP 212)"</f>
        <v>FESTÉKHENGER (720MP 212)</v>
      </c>
      <c r="C112" s="9" t="str">
        <f>"SHARP ASZTALI SZÁMOLÓGÉPHEZ"</f>
        <v>SHARP ASZTALI SZÁMOLÓGÉPHEZ</v>
      </c>
      <c r="D112" s="22"/>
      <c r="E112" s="4"/>
      <c r="F112" s="4"/>
      <c r="G112" s="4"/>
      <c r="H112" s="2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10"/>
      <c r="AD112" s="4"/>
      <c r="AE112" s="4"/>
      <c r="AF112" s="4"/>
      <c r="AG112" s="4"/>
      <c r="AH112" s="4"/>
      <c r="AI112" s="4"/>
      <c r="AJ112" s="4"/>
      <c r="AK112" s="4"/>
      <c r="AL112" s="4"/>
      <c r="AM112" s="22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5">
        <f t="shared" si="2"/>
        <v>0</v>
      </c>
      <c r="BJ112" s="22"/>
      <c r="BK112" s="4"/>
    </row>
    <row r="113" spans="2:63" s="9" customFormat="1" ht="11.25" hidden="1">
      <c r="B113" s="9" t="str">
        <f>"FESTÉKPATRON (150)"</f>
        <v>FESTÉKPATRON (150)</v>
      </c>
      <c r="D113" s="22"/>
      <c r="E113" s="4"/>
      <c r="F113" s="4"/>
      <c r="G113" s="4"/>
      <c r="H113" s="22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10"/>
      <c r="AD113" s="4"/>
      <c r="AE113" s="4"/>
      <c r="AF113" s="4"/>
      <c r="AG113" s="4"/>
      <c r="AH113" s="4"/>
      <c r="AI113" s="4"/>
      <c r="AJ113" s="4"/>
      <c r="AK113" s="4"/>
      <c r="AL113" s="4"/>
      <c r="AM113" s="22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5">
        <f t="shared" si="2"/>
        <v>0</v>
      </c>
      <c r="BJ113" s="22"/>
      <c r="BK113" s="4"/>
    </row>
    <row r="114" spans="2:63" s="9" customFormat="1" ht="11.25" hidden="1">
      <c r="B114" s="9" t="str">
        <f>"FESTÉKPATRON (CANON BC-02)"</f>
        <v>FESTÉKPATRON (CANON BC-02)</v>
      </c>
      <c r="D114" s="22"/>
      <c r="E114" s="4"/>
      <c r="F114" s="4"/>
      <c r="G114" s="4"/>
      <c r="H114" s="22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10"/>
      <c r="AD114" s="4"/>
      <c r="AE114" s="4"/>
      <c r="AF114" s="4"/>
      <c r="AG114" s="4"/>
      <c r="AH114" s="4"/>
      <c r="AI114" s="4"/>
      <c r="AJ114" s="4"/>
      <c r="AK114" s="4"/>
      <c r="AL114" s="4"/>
      <c r="AM114" s="22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5">
        <f t="shared" si="2"/>
        <v>0</v>
      </c>
      <c r="BJ114" s="22"/>
      <c r="BK114" s="4"/>
    </row>
    <row r="115" spans="2:63" s="9" customFormat="1" ht="11.25" hidden="1">
      <c r="B115" s="9" t="str">
        <f>"FESTÉKPATRON (CANON BC-02) FEKETE"</f>
        <v>FESTÉKPATRON (CANON BC-02) FEKETE</v>
      </c>
      <c r="D115" s="22"/>
      <c r="E115" s="4"/>
      <c r="F115" s="4"/>
      <c r="G115" s="4"/>
      <c r="H115" s="2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22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5">
        <f t="shared" si="2"/>
        <v>0</v>
      </c>
      <c r="BJ115" s="22"/>
      <c r="BK115" s="4"/>
    </row>
    <row r="116" spans="2:63" s="9" customFormat="1" ht="11.25" hidden="1">
      <c r="B116" s="9" t="str">
        <f>"FESTÉKPATRON (CANON BC-05) SZÍNES"</f>
        <v>FESTÉKPATRON (CANON BC-05) SZÍNES</v>
      </c>
      <c r="D116" s="22"/>
      <c r="E116" s="4"/>
      <c r="F116" s="4"/>
      <c r="G116" s="4"/>
      <c r="H116" s="22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10"/>
      <c r="AD116" s="4"/>
      <c r="AE116" s="4"/>
      <c r="AF116" s="4"/>
      <c r="AG116" s="4"/>
      <c r="AH116" s="4"/>
      <c r="AI116" s="4"/>
      <c r="AJ116" s="4"/>
      <c r="AK116" s="4"/>
      <c r="AL116" s="4"/>
      <c r="AM116" s="22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5">
        <f t="shared" si="2"/>
        <v>0</v>
      </c>
      <c r="BJ116" s="22"/>
      <c r="BK116" s="4"/>
    </row>
    <row r="117" spans="2:65" s="9" customFormat="1" ht="11.25" hidden="1">
      <c r="B117" s="9" t="str">
        <f>"FESTÉKPATRON (CANON BCI-24)"</f>
        <v>FESTÉKPATRON (CANON BCI-24)</v>
      </c>
      <c r="D117" s="22"/>
      <c r="E117" s="4"/>
      <c r="F117" s="4"/>
      <c r="G117" s="4"/>
      <c r="H117" s="22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10"/>
      <c r="AD117" s="4"/>
      <c r="AE117" s="4"/>
      <c r="AF117" s="4"/>
      <c r="AG117" s="4"/>
      <c r="AH117" s="4"/>
      <c r="AI117" s="4"/>
      <c r="AJ117" s="4"/>
      <c r="AK117" s="4"/>
      <c r="AL117" s="4"/>
      <c r="AM117" s="22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5">
        <f t="shared" si="2"/>
        <v>0</v>
      </c>
      <c r="BJ117" s="22"/>
      <c r="BK117" s="4"/>
      <c r="BM117" s="8"/>
    </row>
    <row r="118" spans="2:63" s="8" customFormat="1" ht="11.25" hidden="1">
      <c r="B118" s="9" t="str">
        <f>"FOTÓALBUM"</f>
        <v>FOTÓALBUM</v>
      </c>
      <c r="C118" s="9"/>
      <c r="D118" s="27"/>
      <c r="E118" s="5"/>
      <c r="F118" s="5"/>
      <c r="G118" s="5"/>
      <c r="H118" s="2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1"/>
      <c r="AD118" s="5"/>
      <c r="AE118" s="5"/>
      <c r="AF118" s="5"/>
      <c r="AG118" s="5"/>
      <c r="AH118" s="5"/>
      <c r="AI118" s="5"/>
      <c r="AJ118" s="5"/>
      <c r="AK118" s="5"/>
      <c r="AL118" s="5"/>
      <c r="AM118" s="22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>
        <f t="shared" si="2"/>
        <v>0</v>
      </c>
      <c r="BJ118" s="27"/>
      <c r="BK118" s="5"/>
    </row>
    <row r="119" spans="2:63" s="8" customFormat="1" ht="11.25" hidden="1">
      <c r="B119" s="9" t="str">
        <f>"FOTÓPAPÍR (EPSON PHOTO QUALITY)"</f>
        <v>FOTÓPAPÍR (EPSON PHOTO QUALITY)</v>
      </c>
      <c r="C119" s="9" t="str">
        <f>"A/4 (102GR/M2) 100DB-OS"</f>
        <v>A/4 (102GR/M2) 100DB-OS</v>
      </c>
      <c r="D119" s="27"/>
      <c r="E119" s="5"/>
      <c r="F119" s="5"/>
      <c r="G119" s="5"/>
      <c r="H119" s="2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1"/>
      <c r="AD119" s="5"/>
      <c r="AE119" s="5"/>
      <c r="AF119" s="5"/>
      <c r="AG119" s="5"/>
      <c r="AH119" s="5"/>
      <c r="AI119" s="5"/>
      <c r="AJ119" s="5"/>
      <c r="AK119" s="5"/>
      <c r="AL119" s="5"/>
      <c r="AM119" s="22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>
        <f t="shared" si="2"/>
        <v>0</v>
      </c>
      <c r="BJ119" s="27"/>
      <c r="BK119" s="5"/>
    </row>
    <row r="120" spans="2:63" s="8" customFormat="1" ht="11.25" hidden="1">
      <c r="B120" s="9" t="str">
        <f>"FOTÓPAPÍR (HP)"</f>
        <v>FOTÓPAPÍR (HP)</v>
      </c>
      <c r="C120" s="9" t="str">
        <f>"A/4"</f>
        <v>A/4</v>
      </c>
      <c r="D120" s="27"/>
      <c r="E120" s="5"/>
      <c r="F120" s="5"/>
      <c r="G120" s="5"/>
      <c r="H120" s="2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11"/>
      <c r="AD120" s="5"/>
      <c r="AE120" s="5"/>
      <c r="AF120" s="5"/>
      <c r="AG120" s="5"/>
      <c r="AH120" s="5"/>
      <c r="AI120" s="5"/>
      <c r="AJ120" s="5"/>
      <c r="AK120" s="5"/>
      <c r="AL120" s="5"/>
      <c r="AM120" s="22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>
        <f t="shared" si="2"/>
        <v>0</v>
      </c>
      <c r="BJ120" s="27"/>
      <c r="BK120" s="5"/>
    </row>
    <row r="121" spans="2:63" s="8" customFormat="1" ht="11.25" hidden="1">
      <c r="B121" s="9" t="str">
        <f>"FOTÓPAPÍR (HP)"</f>
        <v>FOTÓPAPÍR (HP)</v>
      </c>
      <c r="C121" s="9" t="str">
        <f>"A/4"</f>
        <v>A/4</v>
      </c>
      <c r="D121" s="27"/>
      <c r="E121" s="5"/>
      <c r="F121" s="5"/>
      <c r="G121" s="5"/>
      <c r="H121" s="2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11"/>
      <c r="AD121" s="5"/>
      <c r="AE121" s="5"/>
      <c r="AF121" s="5"/>
      <c r="AG121" s="5"/>
      <c r="AH121" s="5"/>
      <c r="AI121" s="5"/>
      <c r="AJ121" s="5"/>
      <c r="AK121" s="5"/>
      <c r="AL121" s="5"/>
      <c r="AM121" s="22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>
        <f t="shared" si="2"/>
        <v>0</v>
      </c>
      <c r="BJ121" s="27"/>
      <c r="BK121" s="5"/>
    </row>
    <row r="122" spans="2:63" s="8" customFormat="1" ht="11.25" hidden="1">
      <c r="B122" s="9" t="str">
        <f>"FRANCIAKOCKÁS LAP"</f>
        <v>FRANCIAKOCKÁS LAP</v>
      </c>
      <c r="C122" s="9" t="str">
        <f>"A/3"</f>
        <v>A/3</v>
      </c>
      <c r="D122" s="27"/>
      <c r="E122" s="5"/>
      <c r="F122" s="5"/>
      <c r="G122" s="5"/>
      <c r="H122" s="2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11"/>
      <c r="AD122" s="5"/>
      <c r="AE122" s="5"/>
      <c r="AF122" s="5"/>
      <c r="AG122" s="5"/>
      <c r="AH122" s="5"/>
      <c r="AI122" s="5"/>
      <c r="AJ122" s="5"/>
      <c r="AK122" s="5"/>
      <c r="AL122" s="5"/>
      <c r="AM122" s="22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>
        <f t="shared" si="2"/>
        <v>0</v>
      </c>
      <c r="BJ122" s="27"/>
      <c r="BK122" s="5"/>
    </row>
    <row r="123" spans="2:65" s="8" customFormat="1" ht="11.25" hidden="1">
      <c r="B123" s="9" t="str">
        <f>"FRANCIAKOCKÁS LAP (RASZTER RÁCSOS)"</f>
        <v>FRANCIAKOCKÁS LAP (RASZTER RÁCSOS)</v>
      </c>
      <c r="C123" s="9" t="str">
        <f>"A/4"</f>
        <v>A/4</v>
      </c>
      <c r="D123" s="27"/>
      <c r="E123" s="5"/>
      <c r="F123" s="5"/>
      <c r="G123" s="5"/>
      <c r="H123" s="2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11"/>
      <c r="AD123" s="5"/>
      <c r="AE123" s="5"/>
      <c r="AF123" s="5"/>
      <c r="AG123" s="5"/>
      <c r="AH123" s="5"/>
      <c r="AI123" s="5"/>
      <c r="AJ123" s="5"/>
      <c r="AK123" s="5"/>
      <c r="AL123" s="5"/>
      <c r="AM123" s="22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>
        <f t="shared" si="2"/>
        <v>0</v>
      </c>
      <c r="BJ123" s="27"/>
      <c r="BK123" s="5"/>
      <c r="BM123" s="9"/>
    </row>
    <row r="124" spans="1:63" s="8" customFormat="1" ht="11.25">
      <c r="A124" s="8" t="s">
        <v>210</v>
      </c>
      <c r="B124" s="9" t="str">
        <f>"DOSSZIÉ (MŰANYAG HÁTLAPOS) FŰZŐS"</f>
        <v>DOSSZIÉ (MŰANYAG HÁTLAPOS) FŰZŐS</v>
      </c>
      <c r="C124" s="9" t="s">
        <v>81</v>
      </c>
      <c r="D124" s="27" t="s">
        <v>26</v>
      </c>
      <c r="E124" s="5"/>
      <c r="F124" s="5">
        <v>10</v>
      </c>
      <c r="G124" s="5">
        <v>10</v>
      </c>
      <c r="H124" s="22"/>
      <c r="I124" s="5"/>
      <c r="J124" s="5">
        <v>20</v>
      </c>
      <c r="K124" s="5"/>
      <c r="L124" s="5"/>
      <c r="M124" s="5"/>
      <c r="N124" s="5">
        <v>5</v>
      </c>
      <c r="O124" s="5"/>
      <c r="P124" s="5"/>
      <c r="Q124" s="5">
        <v>50</v>
      </c>
      <c r="R124" s="5">
        <v>10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11"/>
      <c r="AD124" s="5"/>
      <c r="AE124" s="5"/>
      <c r="AF124" s="5"/>
      <c r="AG124" s="5"/>
      <c r="AH124" s="5"/>
      <c r="AI124" s="5"/>
      <c r="AJ124" s="5"/>
      <c r="AK124" s="5"/>
      <c r="AL124" s="5"/>
      <c r="AM124" s="22"/>
      <c r="AN124" s="5"/>
      <c r="AO124" s="5"/>
      <c r="AP124" s="5"/>
      <c r="AQ124" s="5">
        <v>10</v>
      </c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>
        <f t="shared" si="2"/>
        <v>115</v>
      </c>
      <c r="BJ124" s="27" t="s">
        <v>26</v>
      </c>
      <c r="BK124" s="5"/>
    </row>
    <row r="125" spans="2:63" s="8" customFormat="1" ht="11.25" hidden="1">
      <c r="B125" s="9" t="str">
        <f>"FÜZET (BEÍRÓ)"</f>
        <v>FÜZET (BEÍRÓ)</v>
      </c>
      <c r="C125" s="9" t="str">
        <f>"A/4"</f>
        <v>A/4</v>
      </c>
      <c r="D125" s="27"/>
      <c r="E125" s="5"/>
      <c r="F125" s="5"/>
      <c r="G125" s="5"/>
      <c r="H125" s="2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11"/>
      <c r="AD125" s="5"/>
      <c r="AE125" s="5"/>
      <c r="AF125" s="5"/>
      <c r="AG125" s="5"/>
      <c r="AH125" s="5"/>
      <c r="AI125" s="5"/>
      <c r="AJ125" s="5"/>
      <c r="AK125" s="5"/>
      <c r="AL125" s="5"/>
      <c r="AM125" s="22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>
        <f t="shared" si="2"/>
        <v>0</v>
      </c>
      <c r="BJ125" s="27"/>
      <c r="BK125" s="5"/>
    </row>
    <row r="126" spans="1:63" s="8" customFormat="1" ht="11.25">
      <c r="A126" s="8" t="s">
        <v>211</v>
      </c>
      <c r="B126" s="9" t="str">
        <f>"DOSSZIÉ (PAPÍR) FŰZŐS"</f>
        <v>DOSSZIÉ (PAPÍR) FŰZŐS</v>
      </c>
      <c r="C126" s="9" t="str">
        <f>"A/4"</f>
        <v>A/4</v>
      </c>
      <c r="D126" s="27" t="s">
        <v>26</v>
      </c>
      <c r="E126" s="5">
        <v>10</v>
      </c>
      <c r="F126" s="5">
        <v>50</v>
      </c>
      <c r="G126" s="5"/>
      <c r="H126" s="22"/>
      <c r="I126" s="5"/>
      <c r="J126" s="5"/>
      <c r="K126" s="5"/>
      <c r="L126" s="5"/>
      <c r="M126" s="5"/>
      <c r="N126" s="5">
        <v>10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11"/>
      <c r="AD126" s="5"/>
      <c r="AE126" s="5"/>
      <c r="AF126" s="5"/>
      <c r="AG126" s="5"/>
      <c r="AH126" s="5"/>
      <c r="AI126" s="5"/>
      <c r="AJ126" s="5"/>
      <c r="AK126" s="5"/>
      <c r="AL126" s="5"/>
      <c r="AM126" s="22"/>
      <c r="AN126" s="5"/>
      <c r="AO126" s="5"/>
      <c r="AP126" s="5"/>
      <c r="AQ126" s="5"/>
      <c r="AR126" s="5"/>
      <c r="AS126" s="5"/>
      <c r="AT126" s="5"/>
      <c r="AU126" s="5"/>
      <c r="AV126" s="5">
        <v>10</v>
      </c>
      <c r="AW126" s="5"/>
      <c r="AX126" s="5"/>
      <c r="AY126" s="5"/>
      <c r="AZ126" s="5"/>
      <c r="BA126" s="5"/>
      <c r="BB126" s="5"/>
      <c r="BC126" s="5"/>
      <c r="BD126" s="5">
        <v>10</v>
      </c>
      <c r="BE126" s="5"/>
      <c r="BF126" s="5"/>
      <c r="BG126" s="5"/>
      <c r="BH126" s="5"/>
      <c r="BI126" s="5">
        <f t="shared" si="2"/>
        <v>90</v>
      </c>
      <c r="BJ126" s="27" t="s">
        <v>26</v>
      </c>
      <c r="BK126" s="5"/>
    </row>
    <row r="127" spans="1:63" s="8" customFormat="1" ht="11.25">
      <c r="A127" s="8" t="s">
        <v>212</v>
      </c>
      <c r="B127" s="9" t="str">
        <f>"DOSSZIÉ (PAPÍR) PÓLYÁS-HAJTOGATÓS"</f>
        <v>DOSSZIÉ (PAPÍR) PÓLYÁS-HAJTOGATÓS</v>
      </c>
      <c r="C127" s="9" t="str">
        <f>"A/4"</f>
        <v>A/4</v>
      </c>
      <c r="D127" s="27" t="s">
        <v>26</v>
      </c>
      <c r="E127" s="5">
        <v>15</v>
      </c>
      <c r="F127" s="5">
        <v>20</v>
      </c>
      <c r="G127" s="5"/>
      <c r="H127" s="22"/>
      <c r="I127" s="5"/>
      <c r="J127" s="5"/>
      <c r="K127" s="5"/>
      <c r="L127" s="5"/>
      <c r="M127" s="5"/>
      <c r="N127" s="5">
        <v>10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>
        <v>20</v>
      </c>
      <c r="AA127" s="5"/>
      <c r="AB127" s="5"/>
      <c r="AC127" s="11"/>
      <c r="AD127" s="5"/>
      <c r="AE127" s="5"/>
      <c r="AF127" s="5"/>
      <c r="AG127" s="5"/>
      <c r="AH127" s="5"/>
      <c r="AI127" s="5"/>
      <c r="AJ127" s="5"/>
      <c r="AK127" s="5"/>
      <c r="AL127" s="5"/>
      <c r="AM127" s="22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>
        <f t="shared" si="2"/>
        <v>65</v>
      </c>
      <c r="BJ127" s="27" t="s">
        <v>26</v>
      </c>
      <c r="BK127" s="5"/>
    </row>
    <row r="128" spans="2:63" s="8" customFormat="1" ht="11.25" hidden="1">
      <c r="B128" s="9" t="str">
        <f>"FÜZET (VÁZLAT)"</f>
        <v>FÜZET (VÁZLAT)</v>
      </c>
      <c r="C128" s="9" t="s">
        <v>18</v>
      </c>
      <c r="D128" s="27"/>
      <c r="E128" s="5"/>
      <c r="F128" s="5"/>
      <c r="G128" s="5"/>
      <c r="H128" s="2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11"/>
      <c r="AD128" s="5"/>
      <c r="AE128" s="5"/>
      <c r="AF128" s="5"/>
      <c r="AG128" s="5"/>
      <c r="AH128" s="5"/>
      <c r="AI128" s="5"/>
      <c r="AJ128" s="5"/>
      <c r="AK128" s="5"/>
      <c r="AL128" s="5"/>
      <c r="AM128" s="22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>
        <f t="shared" si="2"/>
        <v>0</v>
      </c>
      <c r="BJ128" s="27"/>
      <c r="BK128" s="5"/>
    </row>
    <row r="129" spans="2:63" s="8" customFormat="1" ht="11.25" hidden="1">
      <c r="B129" s="9" t="str">
        <f>"FÜZET 27-32"</f>
        <v>FÜZET 27-32</v>
      </c>
      <c r="C129" s="9" t="s">
        <v>76</v>
      </c>
      <c r="D129" s="27"/>
      <c r="E129" s="5"/>
      <c r="F129" s="5"/>
      <c r="G129" s="5"/>
      <c r="H129" s="2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11"/>
      <c r="AD129" s="5"/>
      <c r="AE129" s="5"/>
      <c r="AF129" s="5"/>
      <c r="AG129" s="5"/>
      <c r="AH129" s="5"/>
      <c r="AI129" s="5"/>
      <c r="AJ129" s="5"/>
      <c r="AK129" s="5"/>
      <c r="AL129" s="5"/>
      <c r="AM129" s="22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>
        <f t="shared" si="2"/>
        <v>0</v>
      </c>
      <c r="BJ129" s="27"/>
      <c r="BK129" s="5"/>
    </row>
    <row r="130" spans="2:63" s="8" customFormat="1" ht="11.25" hidden="1">
      <c r="B130" s="9" t="str">
        <f>"FÜZETBOX"</f>
        <v>FÜZETBOX</v>
      </c>
      <c r="C130" s="9" t="s">
        <v>77</v>
      </c>
      <c r="D130" s="27"/>
      <c r="E130" s="5"/>
      <c r="F130" s="5"/>
      <c r="G130" s="5"/>
      <c r="H130" s="2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11"/>
      <c r="AD130" s="5"/>
      <c r="AE130" s="5"/>
      <c r="AF130" s="5"/>
      <c r="AG130" s="5"/>
      <c r="AH130" s="5"/>
      <c r="AI130" s="5"/>
      <c r="AJ130" s="5"/>
      <c r="AK130" s="5"/>
      <c r="AL130" s="5"/>
      <c r="AM130" s="22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>
        <f t="shared" si="2"/>
        <v>0</v>
      </c>
      <c r="BJ130" s="27"/>
      <c r="BK130" s="5"/>
    </row>
    <row r="131" spans="1:63" s="9" customFormat="1" ht="11.25">
      <c r="A131" s="9" t="s">
        <v>213</v>
      </c>
      <c r="B131" s="9" t="s">
        <v>43</v>
      </c>
      <c r="C131" s="9" t="str">
        <f>"105X037 MM"</f>
        <v>105X037 MM</v>
      </c>
      <c r="D131" s="22" t="s">
        <v>44</v>
      </c>
      <c r="E131" s="4"/>
      <c r="F131" s="4"/>
      <c r="G131" s="4"/>
      <c r="H131" s="22"/>
      <c r="I131" s="4"/>
      <c r="J131" s="4"/>
      <c r="K131" s="4">
        <v>10</v>
      </c>
      <c r="L131" s="4">
        <v>10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10"/>
      <c r="AD131" s="4"/>
      <c r="AE131" s="4"/>
      <c r="AF131" s="4"/>
      <c r="AG131" s="4"/>
      <c r="AH131" s="4"/>
      <c r="AI131" s="4"/>
      <c r="AJ131" s="4"/>
      <c r="AK131" s="4"/>
      <c r="AL131" s="4"/>
      <c r="AM131" s="22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5">
        <f t="shared" si="2"/>
        <v>20</v>
      </c>
      <c r="BJ131" s="22" t="s">
        <v>44</v>
      </c>
      <c r="BK131" s="4"/>
    </row>
    <row r="132" spans="1:63" s="9" customFormat="1" ht="11.25">
      <c r="A132" s="9" t="s">
        <v>214</v>
      </c>
      <c r="B132" s="9" t="s">
        <v>104</v>
      </c>
      <c r="C132" s="9" t="str">
        <f>"68,0X35,0 MM"</f>
        <v>68,0X35,0 MM</v>
      </c>
      <c r="D132" s="22" t="s">
        <v>44</v>
      </c>
      <c r="E132" s="4"/>
      <c r="F132" s="4"/>
      <c r="G132" s="4"/>
      <c r="H132" s="22"/>
      <c r="I132" s="4"/>
      <c r="J132" s="4"/>
      <c r="K132" s="4"/>
      <c r="L132" s="4"/>
      <c r="M132" s="4"/>
      <c r="N132" s="4"/>
      <c r="O132" s="4"/>
      <c r="P132" s="4"/>
      <c r="Q132" s="4"/>
      <c r="R132" s="4">
        <v>2</v>
      </c>
      <c r="S132" s="4"/>
      <c r="T132" s="4"/>
      <c r="U132" s="4"/>
      <c r="V132" s="4"/>
      <c r="W132" s="4"/>
      <c r="X132" s="4"/>
      <c r="Y132" s="4"/>
      <c r="Z132" s="4">
        <v>1</v>
      </c>
      <c r="AA132" s="4"/>
      <c r="AB132" s="4"/>
      <c r="AC132" s="10"/>
      <c r="AD132" s="4"/>
      <c r="AE132" s="4"/>
      <c r="AF132" s="4"/>
      <c r="AG132" s="4"/>
      <c r="AH132" s="4"/>
      <c r="AI132" s="4"/>
      <c r="AJ132" s="4"/>
      <c r="AK132" s="4"/>
      <c r="AL132" s="4"/>
      <c r="AM132" s="22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5">
        <f t="shared" si="2"/>
        <v>3</v>
      </c>
      <c r="BJ132" s="22" t="s">
        <v>44</v>
      </c>
      <c r="BK132" s="4"/>
    </row>
    <row r="133" spans="2:63" s="8" customFormat="1" ht="11.25" hidden="1">
      <c r="B133" s="9" t="str">
        <f>"GÉMKAPOCS TARTÓ"</f>
        <v>GÉMKAPOCS TARTÓ</v>
      </c>
      <c r="C133" s="9" t="str">
        <f>"MÁGNESES"</f>
        <v>MÁGNESES</v>
      </c>
      <c r="D133" s="27"/>
      <c r="E133" s="5"/>
      <c r="F133" s="5"/>
      <c r="G133" s="5"/>
      <c r="H133" s="2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11"/>
      <c r="AD133" s="5"/>
      <c r="AE133" s="5"/>
      <c r="AF133" s="5"/>
      <c r="AG133" s="5"/>
      <c r="AH133" s="5"/>
      <c r="AI133" s="5"/>
      <c r="AJ133" s="5"/>
      <c r="AK133" s="5"/>
      <c r="AL133" s="5"/>
      <c r="AM133" s="22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>
        <f t="shared" si="2"/>
        <v>0</v>
      </c>
      <c r="BJ133" s="27"/>
      <c r="BK133" s="5"/>
    </row>
    <row r="134" spans="2:63" s="8" customFormat="1" ht="11.25" hidden="1">
      <c r="B134" s="9" t="str">
        <f>"GENOTHERMA (FÜLES)"</f>
        <v>GENOTHERMA (FÜLES)</v>
      </c>
      <c r="C134" s="9" t="str">
        <f>"A/4"</f>
        <v>A/4</v>
      </c>
      <c r="D134" s="27"/>
      <c r="E134" s="5"/>
      <c r="F134" s="5"/>
      <c r="G134" s="5"/>
      <c r="H134" s="2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11"/>
      <c r="AD134" s="5"/>
      <c r="AE134" s="5"/>
      <c r="AF134" s="5"/>
      <c r="AG134" s="5"/>
      <c r="AH134" s="5"/>
      <c r="AI134" s="5"/>
      <c r="AJ134" s="5"/>
      <c r="AK134" s="5"/>
      <c r="AL134" s="5"/>
      <c r="AM134" s="22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>
        <f aca="true" t="shared" si="4" ref="BI134:BI197">SUM(E134:BH134)</f>
        <v>0</v>
      </c>
      <c r="BJ134" s="27"/>
      <c r="BK134" s="5"/>
    </row>
    <row r="135" spans="1:63" s="8" customFormat="1" ht="11.25">
      <c r="A135" s="8" t="s">
        <v>215</v>
      </c>
      <c r="B135" s="9" t="s">
        <v>132</v>
      </c>
      <c r="C135" s="9" t="str">
        <f>"105X058 MM"</f>
        <v>105X058 MM</v>
      </c>
      <c r="D135" s="22" t="s">
        <v>44</v>
      </c>
      <c r="E135" s="5"/>
      <c r="F135" s="5">
        <v>50</v>
      </c>
      <c r="G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>
        <v>1</v>
      </c>
      <c r="AA135" s="5"/>
      <c r="AB135" s="5"/>
      <c r="AC135" s="11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>
        <v>25</v>
      </c>
      <c r="BF135" s="5"/>
      <c r="BG135" s="5"/>
      <c r="BH135" s="5"/>
      <c r="BI135" s="5">
        <f t="shared" si="4"/>
        <v>76</v>
      </c>
      <c r="BJ135" s="22" t="s">
        <v>44</v>
      </c>
      <c r="BK135" s="5"/>
    </row>
    <row r="136" spans="1:63" s="8" customFormat="1" ht="11.25">
      <c r="A136" s="8" t="s">
        <v>216</v>
      </c>
      <c r="B136" s="8" t="s">
        <v>137</v>
      </c>
      <c r="C136" s="8" t="s">
        <v>138</v>
      </c>
      <c r="D136" s="22" t="s">
        <v>44</v>
      </c>
      <c r="E136" s="5">
        <v>1</v>
      </c>
      <c r="F136" s="5">
        <v>10</v>
      </c>
      <c r="G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>
        <v>1</v>
      </c>
      <c r="AA136" s="5"/>
      <c r="AB136" s="5"/>
      <c r="AC136" s="11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>
        <f t="shared" si="4"/>
        <v>12</v>
      </c>
      <c r="BJ136" s="22" t="s">
        <v>44</v>
      </c>
      <c r="BK136" s="5"/>
    </row>
    <row r="137" spans="2:63" s="9" customFormat="1" ht="11.25" hidden="1">
      <c r="B137" s="9" t="s">
        <v>46</v>
      </c>
      <c r="C137" s="9" t="str">
        <f>"A/4"</f>
        <v>A/4</v>
      </c>
      <c r="D137" s="27" t="s">
        <v>26</v>
      </c>
      <c r="E137" s="4"/>
      <c r="F137" s="4"/>
      <c r="G137" s="4"/>
      <c r="H137" s="2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10"/>
      <c r="AD137" s="4"/>
      <c r="AE137" s="4"/>
      <c r="AF137" s="4"/>
      <c r="AG137" s="4"/>
      <c r="AH137" s="4"/>
      <c r="AI137" s="4"/>
      <c r="AJ137" s="4"/>
      <c r="AK137" s="4"/>
      <c r="AL137" s="4"/>
      <c r="AM137" s="22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5">
        <f t="shared" si="4"/>
        <v>0</v>
      </c>
      <c r="BJ137" s="27" t="s">
        <v>26</v>
      </c>
      <c r="BK137" s="4"/>
    </row>
    <row r="138" spans="2:63" s="9" customFormat="1" ht="11.25" hidden="1">
      <c r="B138" s="9" t="s">
        <v>46</v>
      </c>
      <c r="C138" s="9" t="str">
        <f>"A/4"</f>
        <v>A/4</v>
      </c>
      <c r="D138" s="27" t="s">
        <v>26</v>
      </c>
      <c r="E138" s="4"/>
      <c r="F138" s="4"/>
      <c r="G138" s="4"/>
      <c r="H138" s="2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10"/>
      <c r="AD138" s="4"/>
      <c r="AE138" s="4"/>
      <c r="AF138" s="4"/>
      <c r="AG138" s="4"/>
      <c r="AH138" s="4"/>
      <c r="AI138" s="4"/>
      <c r="AJ138" s="4"/>
      <c r="AK138" s="4"/>
      <c r="AL138" s="4"/>
      <c r="AM138" s="22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5">
        <f t="shared" si="4"/>
        <v>0</v>
      </c>
      <c r="BJ138" s="27" t="s">
        <v>26</v>
      </c>
      <c r="BK138" s="4"/>
    </row>
    <row r="139" spans="2:63" s="9" customFormat="1" ht="11.25" hidden="1">
      <c r="B139" s="9" t="s">
        <v>46</v>
      </c>
      <c r="D139" s="27" t="s">
        <v>26</v>
      </c>
      <c r="E139" s="4"/>
      <c r="F139" s="4"/>
      <c r="G139" s="4"/>
      <c r="H139" s="22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10"/>
      <c r="AD139" s="4"/>
      <c r="AE139" s="4"/>
      <c r="AF139" s="4"/>
      <c r="AG139" s="4"/>
      <c r="AH139" s="4"/>
      <c r="AI139" s="4"/>
      <c r="AJ139" s="4"/>
      <c r="AK139" s="4"/>
      <c r="AL139" s="4"/>
      <c r="AM139" s="22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5">
        <f t="shared" si="4"/>
        <v>0</v>
      </c>
      <c r="BJ139" s="27" t="s">
        <v>26</v>
      </c>
      <c r="BK139" s="4"/>
    </row>
    <row r="140" spans="2:63" s="9" customFormat="1" ht="11.25" hidden="1">
      <c r="B140" s="9" t="s">
        <v>46</v>
      </c>
      <c r="D140" s="27" t="s">
        <v>26</v>
      </c>
      <c r="E140" s="4"/>
      <c r="F140" s="4"/>
      <c r="G140" s="4"/>
      <c r="H140" s="2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10"/>
      <c r="AD140" s="4"/>
      <c r="AE140" s="4"/>
      <c r="AF140" s="4"/>
      <c r="AG140" s="4"/>
      <c r="AH140" s="4"/>
      <c r="AI140" s="4"/>
      <c r="AJ140" s="4"/>
      <c r="AK140" s="4"/>
      <c r="AL140" s="4"/>
      <c r="AM140" s="22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5">
        <f t="shared" si="4"/>
        <v>0</v>
      </c>
      <c r="BJ140" s="27" t="s">
        <v>26</v>
      </c>
      <c r="BK140" s="4"/>
    </row>
    <row r="141" spans="2:63" s="9" customFormat="1" ht="11.25" hidden="1">
      <c r="B141" s="9" t="s">
        <v>46</v>
      </c>
      <c r="D141" s="27" t="s">
        <v>26</v>
      </c>
      <c r="E141" s="4"/>
      <c r="F141" s="4"/>
      <c r="G141" s="4"/>
      <c r="H141" s="2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10"/>
      <c r="AD141" s="4"/>
      <c r="AE141" s="4"/>
      <c r="AF141" s="4"/>
      <c r="AG141" s="4"/>
      <c r="AH141" s="4"/>
      <c r="AI141" s="4"/>
      <c r="AJ141" s="4"/>
      <c r="AK141" s="4"/>
      <c r="AL141" s="4"/>
      <c r="AM141" s="22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5">
        <f t="shared" si="4"/>
        <v>0</v>
      </c>
      <c r="BJ141" s="27" t="s">
        <v>26</v>
      </c>
      <c r="BK141" s="4"/>
    </row>
    <row r="142" spans="2:63" s="9" customFormat="1" ht="11.25" hidden="1">
      <c r="B142" s="9" t="s">
        <v>46</v>
      </c>
      <c r="D142" s="27" t="s">
        <v>26</v>
      </c>
      <c r="E142" s="4"/>
      <c r="F142" s="4"/>
      <c r="G142" s="4"/>
      <c r="H142" s="22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10"/>
      <c r="AD142" s="4"/>
      <c r="AE142" s="4"/>
      <c r="AF142" s="4"/>
      <c r="AG142" s="4"/>
      <c r="AH142" s="4"/>
      <c r="AI142" s="4"/>
      <c r="AJ142" s="4"/>
      <c r="AK142" s="4"/>
      <c r="AL142" s="4"/>
      <c r="AM142" s="22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5">
        <f t="shared" si="4"/>
        <v>0</v>
      </c>
      <c r="BJ142" s="27" t="s">
        <v>26</v>
      </c>
      <c r="BK142" s="4"/>
    </row>
    <row r="143" spans="2:63" s="9" customFormat="1" ht="11.25" hidden="1">
      <c r="B143" s="9" t="s">
        <v>46</v>
      </c>
      <c r="D143" s="27" t="s">
        <v>26</v>
      </c>
      <c r="E143" s="4"/>
      <c r="F143" s="4"/>
      <c r="G143" s="4"/>
      <c r="H143" s="22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10"/>
      <c r="AD143" s="4"/>
      <c r="AE143" s="4"/>
      <c r="AF143" s="4"/>
      <c r="AG143" s="4"/>
      <c r="AH143" s="4"/>
      <c r="AI143" s="4"/>
      <c r="AJ143" s="4"/>
      <c r="AK143" s="4"/>
      <c r="AL143" s="4"/>
      <c r="AM143" s="22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5">
        <f t="shared" si="4"/>
        <v>0</v>
      </c>
      <c r="BJ143" s="27" t="s">
        <v>26</v>
      </c>
      <c r="BK143" s="4"/>
    </row>
    <row r="144" spans="1:63" s="9" customFormat="1" ht="11.25">
      <c r="A144" s="9" t="s">
        <v>217</v>
      </c>
      <c r="B144" s="9" t="s">
        <v>161</v>
      </c>
      <c r="C144" s="9" t="s">
        <v>163</v>
      </c>
      <c r="D144" s="27" t="s">
        <v>26</v>
      </c>
      <c r="E144" s="4"/>
      <c r="F144" s="4"/>
      <c r="G144" s="4"/>
      <c r="H144" s="22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>
        <v>1</v>
      </c>
      <c r="X144" s="4"/>
      <c r="Y144" s="4"/>
      <c r="Z144" s="4"/>
      <c r="AA144" s="4"/>
      <c r="AB144" s="4"/>
      <c r="AC144" s="10"/>
      <c r="AD144" s="4"/>
      <c r="AE144" s="4"/>
      <c r="AF144" s="4"/>
      <c r="AG144" s="4"/>
      <c r="AH144" s="4"/>
      <c r="AI144" s="4"/>
      <c r="AJ144" s="4"/>
      <c r="AK144" s="4"/>
      <c r="AL144" s="4"/>
      <c r="AM144" s="22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5">
        <f t="shared" si="4"/>
        <v>1</v>
      </c>
      <c r="BJ144" s="27" t="s">
        <v>26</v>
      </c>
      <c r="BK144" s="4"/>
    </row>
    <row r="145" spans="1:63" s="8" customFormat="1" ht="11.25">
      <c r="A145" s="8" t="s">
        <v>218</v>
      </c>
      <c r="B145" s="9" t="s">
        <v>29</v>
      </c>
      <c r="C145" s="9" t="str">
        <f>"A/3 (80 GRAMM)"</f>
        <v>A/3 (80 GRAMM)</v>
      </c>
      <c r="D145" s="27" t="s">
        <v>28</v>
      </c>
      <c r="E145" s="5"/>
      <c r="F145" s="5">
        <v>5</v>
      </c>
      <c r="G145" s="5">
        <v>1</v>
      </c>
      <c r="H145" s="2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11"/>
      <c r="AD145" s="5"/>
      <c r="AE145" s="5"/>
      <c r="AF145" s="5"/>
      <c r="AG145" s="5"/>
      <c r="AH145" s="5"/>
      <c r="AI145" s="5"/>
      <c r="AJ145" s="5"/>
      <c r="AK145" s="5"/>
      <c r="AL145" s="5"/>
      <c r="AM145" s="22"/>
      <c r="AN145" s="5"/>
      <c r="AO145" s="5"/>
      <c r="AP145" s="5"/>
      <c r="AQ145" s="5"/>
      <c r="AR145" s="5"/>
      <c r="AS145" s="5"/>
      <c r="AT145" s="5"/>
      <c r="AU145" s="5">
        <v>1</v>
      </c>
      <c r="AV145" s="5"/>
      <c r="AW145" s="5"/>
      <c r="AX145" s="5"/>
      <c r="AY145" s="5"/>
      <c r="AZ145" s="5"/>
      <c r="BA145" s="5"/>
      <c r="BB145" s="5"/>
      <c r="BC145" s="35"/>
      <c r="BD145" s="35"/>
      <c r="BE145" s="5"/>
      <c r="BF145" s="5"/>
      <c r="BG145" s="5"/>
      <c r="BH145" s="5"/>
      <c r="BI145" s="5">
        <f t="shared" si="4"/>
        <v>7</v>
      </c>
      <c r="BJ145" s="27" t="s">
        <v>28</v>
      </c>
      <c r="BK145" s="5"/>
    </row>
    <row r="146" spans="2:63" s="9" customFormat="1" ht="11.25" hidden="1">
      <c r="B146" s="9" t="str">
        <f>"GOLYÓSTOLL (PENTEL BK-408 B)"</f>
        <v>GOLYÓSTOLL (PENTEL BK-408 B)</v>
      </c>
      <c r="D146" s="27"/>
      <c r="E146" s="4"/>
      <c r="F146" s="4"/>
      <c r="G146" s="4"/>
      <c r="H146" s="22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10"/>
      <c r="AD146" s="4"/>
      <c r="AE146" s="4"/>
      <c r="AF146" s="4"/>
      <c r="AG146" s="4"/>
      <c r="AH146" s="4"/>
      <c r="AI146" s="4"/>
      <c r="AJ146" s="4"/>
      <c r="AK146" s="4"/>
      <c r="AL146" s="4"/>
      <c r="AM146" s="22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5">
        <f t="shared" si="4"/>
        <v>0</v>
      </c>
      <c r="BJ146" s="27"/>
      <c r="BK146" s="4"/>
    </row>
    <row r="147" spans="1:65" s="8" customFormat="1" ht="11.25">
      <c r="A147" s="8" t="s">
        <v>219</v>
      </c>
      <c r="B147" s="9" t="s">
        <v>29</v>
      </c>
      <c r="C147" s="9" t="str">
        <f>"A/4 (80 GRAMM)"</f>
        <v>A/4 (80 GRAMM)</v>
      </c>
      <c r="D147" s="27" t="s">
        <v>28</v>
      </c>
      <c r="E147" s="5">
        <v>5</v>
      </c>
      <c r="F147" s="5"/>
      <c r="G147" s="5">
        <v>3</v>
      </c>
      <c r="H147" s="22">
        <v>5</v>
      </c>
      <c r="I147" s="5"/>
      <c r="J147" s="5">
        <v>10</v>
      </c>
      <c r="K147" s="5">
        <v>10</v>
      </c>
      <c r="L147" s="5">
        <v>10</v>
      </c>
      <c r="M147" s="5"/>
      <c r="N147" s="5">
        <v>20</v>
      </c>
      <c r="O147" s="5"/>
      <c r="P147" s="5"/>
      <c r="Q147" s="5"/>
      <c r="R147" s="5"/>
      <c r="S147" s="5"/>
      <c r="T147" s="5">
        <v>1</v>
      </c>
      <c r="U147" s="5"/>
      <c r="V147" s="5">
        <v>4</v>
      </c>
      <c r="W147" s="5"/>
      <c r="X147" s="5"/>
      <c r="Y147" s="5"/>
      <c r="Z147" s="5"/>
      <c r="AA147" s="5"/>
      <c r="AB147" s="5"/>
      <c r="AC147" s="11"/>
      <c r="AD147" s="5"/>
      <c r="AE147" s="5"/>
      <c r="AF147" s="5"/>
      <c r="AG147" s="5"/>
      <c r="AH147" s="5"/>
      <c r="AI147" s="5"/>
      <c r="AJ147" s="5"/>
      <c r="AK147" s="5"/>
      <c r="AL147" s="5"/>
      <c r="AM147" s="22"/>
      <c r="AN147" s="5"/>
      <c r="AO147" s="5"/>
      <c r="AP147" s="5"/>
      <c r="AQ147" s="5"/>
      <c r="AR147" s="5"/>
      <c r="AS147" s="5"/>
      <c r="AT147" s="5"/>
      <c r="AU147" s="5">
        <v>10</v>
      </c>
      <c r="AV147" s="5">
        <v>10</v>
      </c>
      <c r="AW147" s="5">
        <v>10</v>
      </c>
      <c r="AX147" s="5">
        <v>10</v>
      </c>
      <c r="AY147" s="5"/>
      <c r="AZ147" s="5"/>
      <c r="BA147" s="5"/>
      <c r="BB147" s="5"/>
      <c r="BC147" s="5">
        <v>10</v>
      </c>
      <c r="BD147" s="5">
        <v>10</v>
      </c>
      <c r="BE147" s="5">
        <v>15</v>
      </c>
      <c r="BF147" s="5"/>
      <c r="BG147" s="5">
        <v>20</v>
      </c>
      <c r="BH147" s="5">
        <v>100</v>
      </c>
      <c r="BI147" s="5">
        <f t="shared" si="4"/>
        <v>263</v>
      </c>
      <c r="BJ147" s="27" t="s">
        <v>28</v>
      </c>
      <c r="BK147" s="5"/>
      <c r="BM147" s="9"/>
    </row>
    <row r="148" spans="2:63" s="9" customFormat="1" ht="11.25" hidden="1">
      <c r="B148" s="9" t="str">
        <f>"GOLYÓSTOLL (ÜGYFELES)"</f>
        <v>GOLYÓSTOLL (ÜGYFELES)</v>
      </c>
      <c r="D148" s="27" t="s">
        <v>26</v>
      </c>
      <c r="E148" s="4"/>
      <c r="F148" s="4"/>
      <c r="G148" s="4"/>
      <c r="H148" s="22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10"/>
      <c r="AD148" s="4"/>
      <c r="AE148" s="4"/>
      <c r="AF148" s="4"/>
      <c r="AG148" s="4"/>
      <c r="AH148" s="4"/>
      <c r="AI148" s="4"/>
      <c r="AJ148" s="4"/>
      <c r="AK148" s="4"/>
      <c r="AL148" s="4"/>
      <c r="AM148" s="22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5">
        <f t="shared" si="4"/>
        <v>0</v>
      </c>
      <c r="BJ148" s="27" t="s">
        <v>26</v>
      </c>
      <c r="BK148" s="4"/>
    </row>
    <row r="149" spans="1:63" s="9" customFormat="1" ht="11.25">
      <c r="A149" s="9" t="s">
        <v>220</v>
      </c>
      <c r="B149" s="9" t="s">
        <v>174</v>
      </c>
      <c r="C149" s="9" t="s">
        <v>175</v>
      </c>
      <c r="D149" s="27" t="s">
        <v>26</v>
      </c>
      <c r="E149" s="4"/>
      <c r="F149" s="4"/>
      <c r="G149" s="4"/>
      <c r="H149" s="22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10"/>
      <c r="AD149" s="4"/>
      <c r="AE149" s="4"/>
      <c r="AF149" s="4"/>
      <c r="AG149" s="4"/>
      <c r="AH149" s="4"/>
      <c r="AI149" s="4"/>
      <c r="AJ149" s="4"/>
      <c r="AK149" s="4"/>
      <c r="AL149" s="4"/>
      <c r="AM149" s="22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>
        <v>1</v>
      </c>
      <c r="BD149" s="4"/>
      <c r="BE149" s="4"/>
      <c r="BF149" s="4"/>
      <c r="BG149" s="4"/>
      <c r="BH149" s="4"/>
      <c r="BI149" s="5">
        <f t="shared" si="4"/>
        <v>1</v>
      </c>
      <c r="BJ149" s="27" t="s">
        <v>26</v>
      </c>
      <c r="BK149" s="4"/>
    </row>
    <row r="150" spans="1:63" s="9" customFormat="1" ht="11.25">
      <c r="A150" s="9" t="s">
        <v>221</v>
      </c>
      <c r="B150" s="9" t="s">
        <v>152</v>
      </c>
      <c r="C150" s="9" t="s">
        <v>153</v>
      </c>
      <c r="D150" s="27" t="s">
        <v>26</v>
      </c>
      <c r="E150" s="4"/>
      <c r="F150" s="4">
        <v>2</v>
      </c>
      <c r="G150" s="4"/>
      <c r="H150" s="22"/>
      <c r="I150" s="4">
        <v>20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10"/>
      <c r="AD150" s="4"/>
      <c r="AE150" s="4"/>
      <c r="AF150" s="4"/>
      <c r="AG150" s="4"/>
      <c r="AH150" s="4"/>
      <c r="AI150" s="4"/>
      <c r="AJ150" s="4"/>
      <c r="AK150" s="4"/>
      <c r="AL150" s="4"/>
      <c r="AM150" s="22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>
        <v>1</v>
      </c>
      <c r="BD150" s="4">
        <v>1</v>
      </c>
      <c r="BE150" s="4"/>
      <c r="BF150" s="4"/>
      <c r="BG150" s="4"/>
      <c r="BH150" s="4"/>
      <c r="BI150" s="5">
        <f t="shared" si="4"/>
        <v>24</v>
      </c>
      <c r="BJ150" s="27" t="s">
        <v>26</v>
      </c>
      <c r="BK150" s="4"/>
    </row>
    <row r="151" spans="1:63" s="9" customFormat="1" ht="11.25">
      <c r="A151" s="9" t="s">
        <v>222</v>
      </c>
      <c r="B151" s="9" t="s">
        <v>177</v>
      </c>
      <c r="C151" s="9" t="s">
        <v>176</v>
      </c>
      <c r="D151" s="27" t="s">
        <v>26</v>
      </c>
      <c r="E151" s="4"/>
      <c r="F151" s="4"/>
      <c r="G151" s="4"/>
      <c r="H151" s="22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10"/>
      <c r="AD151" s="4"/>
      <c r="AE151" s="4"/>
      <c r="AF151" s="4"/>
      <c r="AG151" s="4"/>
      <c r="AH151" s="4"/>
      <c r="AI151" s="4"/>
      <c r="AJ151" s="4"/>
      <c r="AK151" s="4"/>
      <c r="AL151" s="4"/>
      <c r="AM151" s="22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>
        <v>50</v>
      </c>
      <c r="BF151" s="4"/>
      <c r="BG151" s="4"/>
      <c r="BH151" s="4"/>
      <c r="BI151" s="5">
        <f t="shared" si="4"/>
        <v>50</v>
      </c>
      <c r="BJ151" s="27" t="s">
        <v>26</v>
      </c>
      <c r="BK151" s="4"/>
    </row>
    <row r="152" spans="1:63" s="9" customFormat="1" ht="11.25">
      <c r="A152" s="9" t="s">
        <v>223</v>
      </c>
      <c r="B152" s="9" t="s">
        <v>155</v>
      </c>
      <c r="C152" s="9" t="s">
        <v>36</v>
      </c>
      <c r="D152" s="27" t="s">
        <v>26</v>
      </c>
      <c r="E152" s="4"/>
      <c r="F152" s="4"/>
      <c r="G152" s="4"/>
      <c r="H152" s="22"/>
      <c r="I152" s="4"/>
      <c r="J152" s="4"/>
      <c r="K152" s="4">
        <v>1</v>
      </c>
      <c r="L152" s="4">
        <v>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10"/>
      <c r="AD152" s="4"/>
      <c r="AE152" s="4"/>
      <c r="AF152" s="4"/>
      <c r="AG152" s="4"/>
      <c r="AH152" s="4"/>
      <c r="AI152" s="4"/>
      <c r="AJ152" s="4"/>
      <c r="AK152" s="4"/>
      <c r="AL152" s="4"/>
      <c r="AM152" s="22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5">
        <f t="shared" si="4"/>
        <v>2</v>
      </c>
      <c r="BJ152" s="27" t="s">
        <v>26</v>
      </c>
      <c r="BK152" s="4"/>
    </row>
    <row r="153" spans="2:63" s="9" customFormat="1" ht="11.25" hidden="1">
      <c r="B153" s="9" t="str">
        <f>"GOLYÓSTOLL (ZEBRA N5200)"</f>
        <v>GOLYÓSTOLL (ZEBRA N5200)</v>
      </c>
      <c r="D153" s="27" t="s">
        <v>26</v>
      </c>
      <c r="E153" s="4"/>
      <c r="F153" s="4"/>
      <c r="G153" s="4"/>
      <c r="H153" s="2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10"/>
      <c r="AD153" s="4"/>
      <c r="AE153" s="4"/>
      <c r="AF153" s="4"/>
      <c r="AG153" s="4"/>
      <c r="AH153" s="4"/>
      <c r="AI153" s="4"/>
      <c r="AJ153" s="4"/>
      <c r="AK153" s="4"/>
      <c r="AL153" s="4"/>
      <c r="AM153" s="22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5">
        <f t="shared" si="4"/>
        <v>0</v>
      </c>
      <c r="BJ153" s="27" t="s">
        <v>26</v>
      </c>
      <c r="BK153" s="4"/>
    </row>
    <row r="154" spans="2:63" s="9" customFormat="1" ht="11.25" hidden="1">
      <c r="B154" s="9" t="str">
        <f>"GOLYÓSTOLL (ZEBRA RUBBER 101)"</f>
        <v>GOLYÓSTOLL (ZEBRA RUBBER 101)</v>
      </c>
      <c r="D154" s="27" t="s">
        <v>26</v>
      </c>
      <c r="E154" s="4"/>
      <c r="F154" s="4"/>
      <c r="G154" s="4"/>
      <c r="H154" s="22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10"/>
      <c r="AD154" s="4"/>
      <c r="AE154" s="4"/>
      <c r="AF154" s="4"/>
      <c r="AG154" s="4"/>
      <c r="AH154" s="4"/>
      <c r="AI154" s="4"/>
      <c r="AJ154" s="4"/>
      <c r="AK154" s="4"/>
      <c r="AL154" s="4"/>
      <c r="AM154" s="22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5">
        <f t="shared" si="4"/>
        <v>0</v>
      </c>
      <c r="BJ154" s="27" t="s">
        <v>26</v>
      </c>
      <c r="BK154" s="4"/>
    </row>
    <row r="155" spans="1:63" s="8" customFormat="1" ht="11.25">
      <c r="A155" s="8" t="s">
        <v>224</v>
      </c>
      <c r="B155" s="9" t="str">
        <f>"FÜZET (KOCKÁS)"</f>
        <v>FÜZET (KOCKÁS)</v>
      </c>
      <c r="C155" s="9" t="str">
        <f>"A/4"</f>
        <v>A/4</v>
      </c>
      <c r="D155" s="27" t="s">
        <v>26</v>
      </c>
      <c r="E155" s="5"/>
      <c r="F155" s="5"/>
      <c r="G155" s="5"/>
      <c r="H155" s="22"/>
      <c r="I155" s="5"/>
      <c r="J155" s="5"/>
      <c r="K155" s="5">
        <v>1</v>
      </c>
      <c r="L155" s="5">
        <v>1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1"/>
      <c r="AD155" s="5"/>
      <c r="AE155" s="5"/>
      <c r="AF155" s="5"/>
      <c r="AG155" s="5"/>
      <c r="AH155" s="5"/>
      <c r="AI155" s="5"/>
      <c r="AJ155" s="5"/>
      <c r="AK155" s="5"/>
      <c r="AL155" s="5"/>
      <c r="AM155" s="22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>
        <f t="shared" si="4"/>
        <v>2</v>
      </c>
      <c r="BJ155" s="27" t="s">
        <v>26</v>
      </c>
      <c r="BK155" s="5"/>
    </row>
    <row r="156" spans="2:63" s="9" customFormat="1" ht="11.25" hidden="1">
      <c r="B156" s="9" t="str">
        <f aca="true" t="shared" si="5" ref="B156:B161">"GOLYÓSTOLL BETÉT"</f>
        <v>GOLYÓSTOLL BETÉT</v>
      </c>
      <c r="C156" s="9" t="str">
        <f>"4 SZÍNŰ (MINI)"</f>
        <v>4 SZÍNŰ (MINI)</v>
      </c>
      <c r="D156" s="27" t="s">
        <v>26</v>
      </c>
      <c r="E156" s="4"/>
      <c r="F156" s="4"/>
      <c r="G156" s="4"/>
      <c r="H156" s="22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10"/>
      <c r="AD156" s="4"/>
      <c r="AE156" s="4"/>
      <c r="AF156" s="4"/>
      <c r="AG156" s="4"/>
      <c r="AH156" s="4"/>
      <c r="AI156" s="4"/>
      <c r="AJ156" s="4"/>
      <c r="AK156" s="4"/>
      <c r="AL156" s="4"/>
      <c r="AM156" s="22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5">
        <f t="shared" si="4"/>
        <v>0</v>
      </c>
      <c r="BJ156" s="27" t="s">
        <v>26</v>
      </c>
      <c r="BK156" s="4"/>
    </row>
    <row r="157" spans="2:63" s="9" customFormat="1" ht="11.25" hidden="1">
      <c r="B157" s="9" t="str">
        <f t="shared" si="5"/>
        <v>GOLYÓSTOLL BETÉT</v>
      </c>
      <c r="C157" s="9" t="str">
        <f>"HANDY"</f>
        <v>HANDY</v>
      </c>
      <c r="D157" s="27" t="s">
        <v>26</v>
      </c>
      <c r="E157" s="4"/>
      <c r="F157" s="4"/>
      <c r="G157" s="4"/>
      <c r="H157" s="22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10"/>
      <c r="AD157" s="4"/>
      <c r="AE157" s="4"/>
      <c r="AF157" s="4"/>
      <c r="AG157" s="4"/>
      <c r="AH157" s="4"/>
      <c r="AI157" s="4"/>
      <c r="AJ157" s="4"/>
      <c r="AK157" s="4"/>
      <c r="AL157" s="4"/>
      <c r="AM157" s="22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5">
        <f t="shared" si="4"/>
        <v>0</v>
      </c>
      <c r="BJ157" s="27" t="s">
        <v>26</v>
      </c>
      <c r="BK157" s="4"/>
    </row>
    <row r="158" spans="2:63" s="9" customFormat="1" ht="11.25" hidden="1">
      <c r="B158" s="9" t="str">
        <f t="shared" si="5"/>
        <v>GOLYÓSTOLL BETÉT</v>
      </c>
      <c r="C158" s="9" t="str">
        <f>"PARKER"</f>
        <v>PARKER</v>
      </c>
      <c r="D158" s="27" t="s">
        <v>26</v>
      </c>
      <c r="E158" s="4"/>
      <c r="F158" s="4"/>
      <c r="G158" s="4"/>
      <c r="H158" s="22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10"/>
      <c r="AD158" s="4"/>
      <c r="AE158" s="4"/>
      <c r="AF158" s="4"/>
      <c r="AG158" s="4"/>
      <c r="AH158" s="4"/>
      <c r="AI158" s="4"/>
      <c r="AJ158" s="4"/>
      <c r="AK158" s="4"/>
      <c r="AL158" s="4"/>
      <c r="AM158" s="22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5">
        <f t="shared" si="4"/>
        <v>0</v>
      </c>
      <c r="BJ158" s="27" t="s">
        <v>26</v>
      </c>
      <c r="BK158" s="4"/>
    </row>
    <row r="159" spans="2:63" s="9" customFormat="1" ht="11.25" hidden="1">
      <c r="B159" s="9" t="str">
        <f t="shared" si="5"/>
        <v>GOLYÓSTOLL BETÉT</v>
      </c>
      <c r="C159" s="9" t="str">
        <f>"PAX"</f>
        <v>PAX</v>
      </c>
      <c r="D159" s="27" t="s">
        <v>26</v>
      </c>
      <c r="E159" s="4"/>
      <c r="F159" s="4"/>
      <c r="G159" s="4"/>
      <c r="H159" s="22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10"/>
      <c r="AD159" s="4"/>
      <c r="AE159" s="4"/>
      <c r="AF159" s="4"/>
      <c r="AG159" s="4"/>
      <c r="AH159" s="4"/>
      <c r="AI159" s="4"/>
      <c r="AJ159" s="4"/>
      <c r="AK159" s="4"/>
      <c r="AL159" s="4"/>
      <c r="AM159" s="22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5">
        <f t="shared" si="4"/>
        <v>0</v>
      </c>
      <c r="BJ159" s="27" t="s">
        <v>26</v>
      </c>
      <c r="BK159" s="4"/>
    </row>
    <row r="160" spans="2:63" s="9" customFormat="1" ht="11.25" hidden="1">
      <c r="B160" s="9" t="str">
        <f t="shared" si="5"/>
        <v>GOLYÓSTOLL BETÉT</v>
      </c>
      <c r="C160" s="9" t="str">
        <f>"PENAC (RB 98C 07)"</f>
        <v>PENAC (RB 98C 07)</v>
      </c>
      <c r="D160" s="27" t="s">
        <v>26</v>
      </c>
      <c r="E160" s="4"/>
      <c r="F160" s="4"/>
      <c r="G160" s="4"/>
      <c r="H160" s="2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10"/>
      <c r="AD160" s="4"/>
      <c r="AE160" s="4"/>
      <c r="AF160" s="4"/>
      <c r="AG160" s="4"/>
      <c r="AH160" s="4"/>
      <c r="AI160" s="4"/>
      <c r="AJ160" s="4"/>
      <c r="AK160" s="4"/>
      <c r="AL160" s="4"/>
      <c r="AM160" s="22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5">
        <f t="shared" si="4"/>
        <v>0</v>
      </c>
      <c r="BJ160" s="27" t="s">
        <v>26</v>
      </c>
      <c r="BK160" s="4"/>
    </row>
    <row r="161" spans="2:63" s="9" customFormat="1" ht="11.25" hidden="1">
      <c r="B161" s="9" t="str">
        <f t="shared" si="5"/>
        <v>GOLYÓSTOLL BETÉT</v>
      </c>
      <c r="C161" s="9" t="str">
        <f>"PILOT"</f>
        <v>PILOT</v>
      </c>
      <c r="D161" s="27" t="s">
        <v>26</v>
      </c>
      <c r="E161" s="4"/>
      <c r="F161" s="4"/>
      <c r="G161" s="4"/>
      <c r="H161" s="2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10"/>
      <c r="AD161" s="4"/>
      <c r="AE161" s="4"/>
      <c r="AF161" s="4"/>
      <c r="AG161" s="4"/>
      <c r="AH161" s="4"/>
      <c r="AI161" s="4"/>
      <c r="AJ161" s="4"/>
      <c r="AK161" s="4"/>
      <c r="AL161" s="4"/>
      <c r="AM161" s="22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5">
        <f t="shared" si="4"/>
        <v>0</v>
      </c>
      <c r="BJ161" s="27" t="s">
        <v>26</v>
      </c>
      <c r="BK161" s="4"/>
    </row>
    <row r="162" spans="1:63" s="8" customFormat="1" ht="11.25">
      <c r="A162" s="8" t="s">
        <v>225</v>
      </c>
      <c r="B162" s="9" t="str">
        <f>"FÜZET (REGISZTERES)"</f>
        <v>FÜZET (REGISZTERES)</v>
      </c>
      <c r="C162" s="9" t="str">
        <f>"A/4"</f>
        <v>A/4</v>
      </c>
      <c r="D162" s="27" t="s">
        <v>26</v>
      </c>
      <c r="E162" s="5"/>
      <c r="F162" s="5"/>
      <c r="G162" s="5"/>
      <c r="H162" s="2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11"/>
      <c r="AD162" s="5"/>
      <c r="AE162" s="5"/>
      <c r="AF162" s="5"/>
      <c r="AG162" s="5"/>
      <c r="AH162" s="5"/>
      <c r="AI162" s="5"/>
      <c r="AJ162" s="5"/>
      <c r="AK162" s="5"/>
      <c r="AL162" s="5"/>
      <c r="AM162" s="22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>
        <v>6</v>
      </c>
      <c r="BF162" s="5"/>
      <c r="BG162" s="5"/>
      <c r="BH162" s="5"/>
      <c r="BI162" s="5">
        <f t="shared" si="4"/>
        <v>6</v>
      </c>
      <c r="BJ162" s="27" t="s">
        <v>26</v>
      </c>
      <c r="BK162" s="5"/>
    </row>
    <row r="163" spans="1:63" s="8" customFormat="1" ht="11.25">
      <c r="A163" s="8" t="s">
        <v>226</v>
      </c>
      <c r="B163" s="9" t="str">
        <f>"FÜZET (REGISZTERES)"</f>
        <v>FÜZET (REGISZTERES)</v>
      </c>
      <c r="C163" s="9" t="s">
        <v>18</v>
      </c>
      <c r="D163" s="27" t="s">
        <v>26</v>
      </c>
      <c r="E163" s="5"/>
      <c r="F163" s="5"/>
      <c r="G163" s="5"/>
      <c r="H163" s="2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>
        <v>1</v>
      </c>
      <c r="X163" s="5"/>
      <c r="Y163" s="5"/>
      <c r="Z163" s="5"/>
      <c r="AA163" s="5"/>
      <c r="AB163" s="5"/>
      <c r="AC163" s="11"/>
      <c r="AD163" s="5"/>
      <c r="AE163" s="5"/>
      <c r="AF163" s="5"/>
      <c r="AG163" s="5"/>
      <c r="AH163" s="5"/>
      <c r="AI163" s="5"/>
      <c r="AJ163" s="5"/>
      <c r="AK163" s="5"/>
      <c r="AL163" s="5"/>
      <c r="AM163" s="22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>
        <f t="shared" si="4"/>
        <v>1</v>
      </c>
      <c r="BJ163" s="27" t="s">
        <v>26</v>
      </c>
      <c r="BK163" s="5"/>
    </row>
    <row r="164" spans="2:65" s="9" customFormat="1" ht="11.25" hidden="1">
      <c r="B164" s="9" t="str">
        <f>"GOLYÓSTOLL BETÉT"</f>
        <v>GOLYÓSTOLL BETÉT</v>
      </c>
      <c r="C164" s="9" t="str">
        <f>"RÉZ"</f>
        <v>RÉZ</v>
      </c>
      <c r="D164" s="27" t="s">
        <v>26</v>
      </c>
      <c r="E164" s="4"/>
      <c r="F164" s="4"/>
      <c r="G164" s="4"/>
      <c r="H164" s="22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10"/>
      <c r="AD164" s="4"/>
      <c r="AE164" s="4"/>
      <c r="AF164" s="4"/>
      <c r="AG164" s="4"/>
      <c r="AH164" s="4"/>
      <c r="AI164" s="4"/>
      <c r="AJ164" s="4"/>
      <c r="AK164" s="4"/>
      <c r="AL164" s="4"/>
      <c r="AM164" s="22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5">
        <f t="shared" si="4"/>
        <v>0</v>
      </c>
      <c r="BJ164" s="27" t="s">
        <v>26</v>
      </c>
      <c r="BK164" s="4"/>
      <c r="BM164" s="8"/>
    </row>
    <row r="165" spans="2:65" s="8" customFormat="1" ht="11.25" hidden="1">
      <c r="B165" s="9" t="str">
        <f>"GOLYÓSTOLL BETÉT"</f>
        <v>GOLYÓSTOLL BETÉT</v>
      </c>
      <c r="C165" s="9" t="str">
        <f>"X-20"</f>
        <v>X-20</v>
      </c>
      <c r="D165" s="27" t="s">
        <v>26</v>
      </c>
      <c r="E165" s="5"/>
      <c r="F165" s="5"/>
      <c r="G165" s="5"/>
      <c r="H165" s="2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11"/>
      <c r="AD165" s="5"/>
      <c r="AE165" s="5"/>
      <c r="AF165" s="5"/>
      <c r="AG165" s="5"/>
      <c r="AH165" s="5"/>
      <c r="AI165" s="5"/>
      <c r="AJ165" s="5"/>
      <c r="AK165" s="5"/>
      <c r="AL165" s="5"/>
      <c r="AM165" s="22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>
        <f t="shared" si="4"/>
        <v>0</v>
      </c>
      <c r="BJ165" s="27" t="s">
        <v>26</v>
      </c>
      <c r="BK165" s="5"/>
      <c r="BM165" s="9"/>
    </row>
    <row r="166" spans="1:63" s="8" customFormat="1" ht="11.25">
      <c r="A166" s="8" t="s">
        <v>227</v>
      </c>
      <c r="B166" s="9" t="s">
        <v>40</v>
      </c>
      <c r="C166" s="9" t="str">
        <f>"A/4"</f>
        <v>A/4</v>
      </c>
      <c r="D166" s="27" t="s">
        <v>26</v>
      </c>
      <c r="E166" s="5"/>
      <c r="F166" s="5">
        <v>3</v>
      </c>
      <c r="G166" s="5">
        <v>5</v>
      </c>
      <c r="H166" s="2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11"/>
      <c r="AD166" s="5"/>
      <c r="AE166" s="5"/>
      <c r="AF166" s="5"/>
      <c r="AG166" s="5"/>
      <c r="AH166" s="5"/>
      <c r="AI166" s="5"/>
      <c r="AJ166" s="5"/>
      <c r="AK166" s="5"/>
      <c r="AL166" s="5"/>
      <c r="AM166" s="22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>
        <f t="shared" si="4"/>
        <v>8</v>
      </c>
      <c r="BJ166" s="27" t="s">
        <v>26</v>
      </c>
      <c r="BK166" s="5"/>
    </row>
    <row r="167" spans="2:63" s="9" customFormat="1" ht="11.25" hidden="1">
      <c r="B167" s="9" t="str">
        <f>"GOLYÓSTOLL BETÉT (ZSELÉS)"</f>
        <v>GOLYÓSTOLL BETÉT (ZSELÉS)</v>
      </c>
      <c r="C167" s="9" t="str">
        <f>"PARKER"</f>
        <v>PARKER</v>
      </c>
      <c r="D167" s="27" t="s">
        <v>26</v>
      </c>
      <c r="E167" s="4"/>
      <c r="F167" s="4"/>
      <c r="G167" s="4"/>
      <c r="H167" s="22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10"/>
      <c r="AD167" s="4"/>
      <c r="AE167" s="4"/>
      <c r="AF167" s="4"/>
      <c r="AG167" s="4"/>
      <c r="AH167" s="4"/>
      <c r="AI167" s="4"/>
      <c r="AJ167" s="4"/>
      <c r="AK167" s="4"/>
      <c r="AL167" s="4"/>
      <c r="AM167" s="22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5">
        <f t="shared" si="4"/>
        <v>0</v>
      </c>
      <c r="BJ167" s="27" t="s">
        <v>26</v>
      </c>
      <c r="BK167" s="4"/>
    </row>
    <row r="168" spans="2:63" s="9" customFormat="1" ht="11.25" hidden="1">
      <c r="B168" s="9" t="str">
        <f>"GYORS MASNI"</f>
        <v>GYORS MASNI</v>
      </c>
      <c r="D168" s="27" t="s">
        <v>26</v>
      </c>
      <c r="E168" s="4"/>
      <c r="F168" s="4"/>
      <c r="G168" s="4"/>
      <c r="H168" s="22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10"/>
      <c r="AD168" s="4"/>
      <c r="AE168" s="4"/>
      <c r="AF168" s="4"/>
      <c r="AG168" s="4"/>
      <c r="AH168" s="4"/>
      <c r="AI168" s="4"/>
      <c r="AJ168" s="4"/>
      <c r="AK168" s="4"/>
      <c r="AL168" s="4"/>
      <c r="AM168" s="22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5">
        <f t="shared" si="4"/>
        <v>0</v>
      </c>
      <c r="BJ168" s="27" t="s">
        <v>26</v>
      </c>
      <c r="BK168" s="4"/>
    </row>
    <row r="169" spans="1:63" s="8" customFormat="1" ht="11.25">
      <c r="A169" s="8" t="s">
        <v>228</v>
      </c>
      <c r="B169" s="9" t="str">
        <f>"GÉMKAPOCS (NAGY)"</f>
        <v>GÉMKAPOCS (NAGY)</v>
      </c>
      <c r="C169" s="9" t="str">
        <f>"55MM"</f>
        <v>55MM</v>
      </c>
      <c r="D169" s="27" t="s">
        <v>34</v>
      </c>
      <c r="E169" s="5">
        <v>1</v>
      </c>
      <c r="F169" s="5">
        <v>2</v>
      </c>
      <c r="G169" s="5"/>
      <c r="H169" s="22"/>
      <c r="I169" s="5"/>
      <c r="J169" s="5"/>
      <c r="K169" s="5"/>
      <c r="L169" s="5"/>
      <c r="M169" s="5"/>
      <c r="N169" s="5">
        <v>5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11"/>
      <c r="AD169" s="5"/>
      <c r="AE169" s="5"/>
      <c r="AF169" s="5"/>
      <c r="AG169" s="5"/>
      <c r="AH169" s="5"/>
      <c r="AI169" s="5"/>
      <c r="AJ169" s="5"/>
      <c r="AK169" s="5"/>
      <c r="AL169" s="5"/>
      <c r="AM169" s="22"/>
      <c r="AN169" s="5"/>
      <c r="AO169" s="5"/>
      <c r="AP169" s="5"/>
      <c r="AQ169" s="5"/>
      <c r="AR169" s="5">
        <v>1</v>
      </c>
      <c r="AS169" s="5"/>
      <c r="AT169" s="5"/>
      <c r="AU169" s="5"/>
      <c r="AV169" s="5">
        <v>2</v>
      </c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>
        <f t="shared" si="4"/>
        <v>11</v>
      </c>
      <c r="BJ169" s="27" t="s">
        <v>34</v>
      </c>
      <c r="BK169" s="5"/>
    </row>
    <row r="170" spans="2:65" s="9" customFormat="1" ht="11.25" hidden="1">
      <c r="B170" s="9" t="str">
        <f>"GYURMA"</f>
        <v>GYURMA</v>
      </c>
      <c r="D170" s="27" t="s">
        <v>26</v>
      </c>
      <c r="E170" s="4"/>
      <c r="F170" s="4"/>
      <c r="G170" s="4"/>
      <c r="H170" s="22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10"/>
      <c r="AD170" s="4"/>
      <c r="AE170" s="4"/>
      <c r="AF170" s="4"/>
      <c r="AG170" s="4"/>
      <c r="AH170" s="4"/>
      <c r="AI170" s="4"/>
      <c r="AJ170" s="4"/>
      <c r="AK170" s="4"/>
      <c r="AL170" s="4"/>
      <c r="AM170" s="22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5">
        <f t="shared" si="4"/>
        <v>0</v>
      </c>
      <c r="BJ170" s="27" t="s">
        <v>26</v>
      </c>
      <c r="BK170" s="4"/>
      <c r="BM170" s="8"/>
    </row>
    <row r="171" spans="2:65" s="8" customFormat="1" ht="11.25" hidden="1">
      <c r="B171" s="9" t="str">
        <f>"GYŰRŰSKÖNYV"</f>
        <v>GYŰRŰSKÖNYV</v>
      </c>
      <c r="C171" s="9" t="str">
        <f>"A/5"</f>
        <v>A/5</v>
      </c>
      <c r="D171" s="27" t="s">
        <v>26</v>
      </c>
      <c r="E171" s="5"/>
      <c r="F171" s="5"/>
      <c r="G171" s="5"/>
      <c r="H171" s="2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11"/>
      <c r="AD171" s="5"/>
      <c r="AE171" s="5"/>
      <c r="AF171" s="5"/>
      <c r="AG171" s="5"/>
      <c r="AH171" s="5"/>
      <c r="AI171" s="5"/>
      <c r="AJ171" s="5"/>
      <c r="AK171" s="5"/>
      <c r="AL171" s="5"/>
      <c r="AM171" s="22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>
        <f t="shared" si="4"/>
        <v>0</v>
      </c>
      <c r="BJ171" s="27" t="s">
        <v>26</v>
      </c>
      <c r="BK171" s="5"/>
      <c r="BM171" s="9"/>
    </row>
    <row r="172" spans="2:63" s="9" customFormat="1" ht="11.25" hidden="1">
      <c r="B172" s="9" t="str">
        <f>"HATÁRIDŐNAPLÓ A/5"</f>
        <v>HATÁRIDŐNAPLÓ A/5</v>
      </c>
      <c r="C172" s="9" t="str">
        <f>"3101"</f>
        <v>3101</v>
      </c>
      <c r="D172" s="27" t="s">
        <v>26</v>
      </c>
      <c r="E172" s="4"/>
      <c r="F172" s="4"/>
      <c r="G172" s="4"/>
      <c r="H172" s="22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22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5">
        <f t="shared" si="4"/>
        <v>0</v>
      </c>
      <c r="BJ172" s="27" t="s">
        <v>26</v>
      </c>
      <c r="BK172" s="4"/>
    </row>
    <row r="173" spans="2:63" s="9" customFormat="1" ht="11.25" hidden="1">
      <c r="B173" s="9" t="str">
        <f>"HATÁROZATOK KÖNYVE"</f>
        <v>HATÁROZATOK KÖNYVE</v>
      </c>
      <c r="D173" s="27" t="s">
        <v>26</v>
      </c>
      <c r="E173" s="4"/>
      <c r="F173" s="4"/>
      <c r="G173" s="4"/>
      <c r="H173" s="22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10"/>
      <c r="AD173" s="4"/>
      <c r="AE173" s="4"/>
      <c r="AF173" s="4"/>
      <c r="AG173" s="4"/>
      <c r="AH173" s="4"/>
      <c r="AI173" s="4"/>
      <c r="AJ173" s="4"/>
      <c r="AK173" s="4"/>
      <c r="AL173" s="4"/>
      <c r="AM173" s="22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5">
        <f t="shared" si="4"/>
        <v>0</v>
      </c>
      <c r="BJ173" s="27" t="s">
        <v>26</v>
      </c>
      <c r="BK173" s="4"/>
    </row>
    <row r="174" spans="2:63" s="9" customFormat="1" ht="11.25" hidden="1">
      <c r="B174" s="9" t="str">
        <f>"HÁTLAP (BŐRHATÁSÚ)"</f>
        <v>HÁTLAP (BŐRHATÁSÚ)</v>
      </c>
      <c r="C174" s="9" t="s">
        <v>55</v>
      </c>
      <c r="D174" s="27" t="s">
        <v>26</v>
      </c>
      <c r="E174" s="4"/>
      <c r="F174" s="4"/>
      <c r="G174" s="4"/>
      <c r="H174" s="22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10"/>
      <c r="AD174" s="4"/>
      <c r="AE174" s="4"/>
      <c r="AF174" s="4"/>
      <c r="AG174" s="4"/>
      <c r="AH174" s="4"/>
      <c r="AI174" s="4"/>
      <c r="AJ174" s="4"/>
      <c r="AK174" s="4"/>
      <c r="AL174" s="4"/>
      <c r="AM174" s="22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5">
        <f t="shared" si="4"/>
        <v>0</v>
      </c>
      <c r="BJ174" s="27" t="s">
        <v>26</v>
      </c>
      <c r="BK174" s="4"/>
    </row>
    <row r="175" spans="2:63" s="9" customFormat="1" ht="11.25" hidden="1">
      <c r="B175" s="9" t="str">
        <f>"HIBAJAVÍTÓ FESTÉK (ECSETES)"</f>
        <v>HIBAJAVÍTÓ FESTÉK (ECSETES)</v>
      </c>
      <c r="C175" s="9" t="str">
        <f>"KORES"</f>
        <v>KORES</v>
      </c>
      <c r="D175" s="27" t="s">
        <v>26</v>
      </c>
      <c r="E175" s="4"/>
      <c r="F175" s="4"/>
      <c r="G175" s="4"/>
      <c r="H175" s="22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10"/>
      <c r="AD175" s="4"/>
      <c r="AE175" s="4"/>
      <c r="AF175" s="4"/>
      <c r="AG175" s="4"/>
      <c r="AH175" s="4"/>
      <c r="AI175" s="4"/>
      <c r="AJ175" s="4"/>
      <c r="AK175" s="4"/>
      <c r="AL175" s="4"/>
      <c r="AM175" s="22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5">
        <f t="shared" si="4"/>
        <v>0</v>
      </c>
      <c r="BJ175" s="27" t="s">
        <v>26</v>
      </c>
      <c r="BK175" s="4"/>
    </row>
    <row r="176" spans="2:63" s="9" customFormat="1" ht="11.25" hidden="1">
      <c r="B176" s="9" t="str">
        <f>"HIBAJAVÍTÓ FESTÉKHÍGÍTÓ"</f>
        <v>HIBAJAVÍTÓ FESTÉKHÍGÍTÓ</v>
      </c>
      <c r="D176" s="27" t="s">
        <v>26</v>
      </c>
      <c r="E176" s="4"/>
      <c r="F176" s="4"/>
      <c r="G176" s="4"/>
      <c r="H176" s="22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10"/>
      <c r="AD176" s="4"/>
      <c r="AE176" s="4"/>
      <c r="AF176" s="4"/>
      <c r="AG176" s="4"/>
      <c r="AH176" s="4"/>
      <c r="AI176" s="4"/>
      <c r="AJ176" s="4"/>
      <c r="AK176" s="4"/>
      <c r="AL176" s="4"/>
      <c r="AM176" s="22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5">
        <f t="shared" si="4"/>
        <v>0</v>
      </c>
      <c r="BJ176" s="27" t="s">
        <v>26</v>
      </c>
      <c r="BK176" s="4"/>
    </row>
    <row r="177" spans="1:63" s="8" customFormat="1" ht="11.25">
      <c r="A177" s="8" t="s">
        <v>229</v>
      </c>
      <c r="B177" s="9" t="str">
        <f>"GÉMKAPOCS (NORMÁL)"</f>
        <v>GÉMKAPOCS (NORMÁL)</v>
      </c>
      <c r="C177" s="9" t="str">
        <f>"33MM"</f>
        <v>33MM</v>
      </c>
      <c r="D177" s="27" t="s">
        <v>34</v>
      </c>
      <c r="E177" s="5">
        <v>1</v>
      </c>
      <c r="F177" s="5">
        <v>2</v>
      </c>
      <c r="G177" s="5"/>
      <c r="H177" s="22"/>
      <c r="I177" s="5"/>
      <c r="J177" s="5"/>
      <c r="K177" s="5"/>
      <c r="L177" s="5"/>
      <c r="M177" s="5"/>
      <c r="N177" s="5"/>
      <c r="O177" s="5"/>
      <c r="P177" s="5"/>
      <c r="Q177" s="5">
        <v>2</v>
      </c>
      <c r="R177" s="5">
        <v>2</v>
      </c>
      <c r="S177" s="5"/>
      <c r="T177" s="5"/>
      <c r="U177" s="5"/>
      <c r="V177" s="5"/>
      <c r="W177" s="5"/>
      <c r="X177" s="5"/>
      <c r="Y177" s="5"/>
      <c r="Z177" s="5">
        <v>1</v>
      </c>
      <c r="AA177" s="5"/>
      <c r="AB177" s="5"/>
      <c r="AC177" s="11"/>
      <c r="AD177" s="5"/>
      <c r="AE177" s="5"/>
      <c r="AF177" s="5"/>
      <c r="AG177" s="5"/>
      <c r="AH177" s="5"/>
      <c r="AI177" s="5"/>
      <c r="AJ177" s="5"/>
      <c r="AK177" s="5"/>
      <c r="AL177" s="5"/>
      <c r="AM177" s="22"/>
      <c r="AN177" s="5"/>
      <c r="AO177" s="5"/>
      <c r="AP177" s="5"/>
      <c r="AQ177" s="5"/>
      <c r="AR177" s="5"/>
      <c r="AS177" s="5"/>
      <c r="AT177" s="5"/>
      <c r="AU177" s="5"/>
      <c r="AV177" s="5">
        <v>5</v>
      </c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>
        <f t="shared" si="4"/>
        <v>13</v>
      </c>
      <c r="BJ177" s="27" t="s">
        <v>34</v>
      </c>
      <c r="BK177" s="5"/>
    </row>
    <row r="178" spans="1:63" s="8" customFormat="1" ht="11.25">
      <c r="A178" s="8" t="s">
        <v>230</v>
      </c>
      <c r="B178" s="9" t="s">
        <v>33</v>
      </c>
      <c r="C178" s="9" t="str">
        <f>"33MM"</f>
        <v>33MM</v>
      </c>
      <c r="D178" s="27" t="s">
        <v>34</v>
      </c>
      <c r="E178" s="5"/>
      <c r="F178" s="5">
        <v>2</v>
      </c>
      <c r="G178" s="5"/>
      <c r="H178" s="2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11"/>
      <c r="AD178" s="5"/>
      <c r="AE178" s="5"/>
      <c r="AF178" s="5"/>
      <c r="AG178" s="5"/>
      <c r="AH178" s="5"/>
      <c r="AI178" s="5"/>
      <c r="AJ178" s="5"/>
      <c r="AK178" s="5"/>
      <c r="AL178" s="5"/>
      <c r="AM178" s="22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>
        <v>1</v>
      </c>
      <c r="BF178" s="5"/>
      <c r="BG178" s="5"/>
      <c r="BH178" s="5"/>
      <c r="BI178" s="5">
        <f t="shared" si="4"/>
        <v>3</v>
      </c>
      <c r="BJ178" s="27" t="s">
        <v>34</v>
      </c>
      <c r="BK178" s="5"/>
    </row>
    <row r="179" spans="2:63" s="9" customFormat="1" ht="11.25" hidden="1">
      <c r="B179" s="9" t="str">
        <f>"HIBAJAVÍTÓ TOLL (STRANGER)"</f>
        <v>HIBAJAVÍTÓ TOLL (STRANGER)</v>
      </c>
      <c r="D179" s="22"/>
      <c r="E179" s="4"/>
      <c r="F179" s="4"/>
      <c r="G179" s="4"/>
      <c r="H179" s="22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0"/>
      <c r="AD179" s="4"/>
      <c r="AE179" s="4"/>
      <c r="AF179" s="4"/>
      <c r="AG179" s="4"/>
      <c r="AH179" s="4"/>
      <c r="AI179" s="4"/>
      <c r="AJ179" s="4"/>
      <c r="AK179" s="4"/>
      <c r="AL179" s="4"/>
      <c r="AM179" s="22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5">
        <f t="shared" si="4"/>
        <v>0</v>
      </c>
      <c r="BJ179" s="22"/>
      <c r="BK179" s="4"/>
    </row>
    <row r="180" spans="2:63" s="9" customFormat="1" ht="11.25" hidden="1">
      <c r="B180" s="9" t="str">
        <f>"HULLADÉK ELHELYEZÉSI JEGY"</f>
        <v>HULLADÉK ELHELYEZÉSI JEGY</v>
      </c>
      <c r="C180" s="9" t="str">
        <f>"(TISZASZOLG)"</f>
        <v>(TISZASZOLG)</v>
      </c>
      <c r="D180" s="22"/>
      <c r="E180" s="4"/>
      <c r="F180" s="4"/>
      <c r="G180" s="4"/>
      <c r="H180" s="22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0"/>
      <c r="AD180" s="4"/>
      <c r="AE180" s="4"/>
      <c r="AF180" s="4"/>
      <c r="AG180" s="4"/>
      <c r="AH180" s="4"/>
      <c r="AI180" s="4"/>
      <c r="AJ180" s="4"/>
      <c r="AK180" s="4"/>
      <c r="AL180" s="4"/>
      <c r="AM180" s="22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5">
        <f t="shared" si="4"/>
        <v>0</v>
      </c>
      <c r="BJ180" s="22"/>
      <c r="BK180" s="4"/>
    </row>
    <row r="181" spans="2:63" s="9" customFormat="1" ht="11.25" hidden="1">
      <c r="B181" s="9" t="str">
        <f>"IKTATÓKÖNYV (SOROS)"</f>
        <v>IKTATÓKÖNYV (SOROS)</v>
      </c>
      <c r="C181" s="9" t="str">
        <f>"C 5230-152"</f>
        <v>C 5230-152</v>
      </c>
      <c r="D181" s="22"/>
      <c r="E181" s="4"/>
      <c r="F181" s="4"/>
      <c r="G181" s="4"/>
      <c r="H181" s="22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10"/>
      <c r="AD181" s="4"/>
      <c r="AE181" s="4"/>
      <c r="AF181" s="4"/>
      <c r="AG181" s="4"/>
      <c r="AH181" s="4"/>
      <c r="AI181" s="4"/>
      <c r="AJ181" s="4"/>
      <c r="AK181" s="4"/>
      <c r="AL181" s="4"/>
      <c r="AM181" s="22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5">
        <f t="shared" si="4"/>
        <v>0</v>
      </c>
      <c r="BJ181" s="22"/>
      <c r="BK181" s="4"/>
    </row>
    <row r="182" spans="1:63" s="18" customFormat="1" ht="11.25">
      <c r="A182" s="9" t="s">
        <v>231</v>
      </c>
      <c r="B182" s="9" t="s">
        <v>124</v>
      </c>
      <c r="C182" s="9" t="s">
        <v>147</v>
      </c>
      <c r="D182" s="27" t="s">
        <v>26</v>
      </c>
      <c r="E182" s="4"/>
      <c r="F182" s="4">
        <v>10</v>
      </c>
      <c r="G182" s="29"/>
      <c r="H182" s="30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6"/>
      <c r="X182" s="29"/>
      <c r="Y182" s="29"/>
      <c r="Z182" s="29"/>
      <c r="AA182" s="29"/>
      <c r="AB182" s="29"/>
      <c r="AC182" s="31"/>
      <c r="AD182" s="29"/>
      <c r="AE182" s="29"/>
      <c r="AF182" s="29"/>
      <c r="AG182" s="29"/>
      <c r="AH182" s="29"/>
      <c r="AI182" s="29"/>
      <c r="AJ182" s="29"/>
      <c r="AK182" s="29"/>
      <c r="AL182" s="29"/>
      <c r="AM182" s="30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5">
        <f t="shared" si="4"/>
        <v>10</v>
      </c>
      <c r="BJ182" s="27" t="s">
        <v>26</v>
      </c>
      <c r="BK182" s="29"/>
    </row>
    <row r="183" spans="1:63" s="18" customFormat="1" ht="11.25">
      <c r="A183" s="9" t="s">
        <v>232</v>
      </c>
      <c r="B183" s="9" t="s">
        <v>124</v>
      </c>
      <c r="C183" s="9" t="s">
        <v>148</v>
      </c>
      <c r="D183" s="27" t="s">
        <v>26</v>
      </c>
      <c r="E183" s="4"/>
      <c r="F183" s="4">
        <v>10</v>
      </c>
      <c r="G183" s="29"/>
      <c r="H183" s="30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6"/>
      <c r="X183" s="29"/>
      <c r="Y183" s="29"/>
      <c r="Z183" s="29"/>
      <c r="AA183" s="29"/>
      <c r="AB183" s="29"/>
      <c r="AC183" s="31"/>
      <c r="AD183" s="29"/>
      <c r="AE183" s="29"/>
      <c r="AF183" s="29"/>
      <c r="AG183" s="29"/>
      <c r="AH183" s="29"/>
      <c r="AI183" s="29"/>
      <c r="AJ183" s="29"/>
      <c r="AK183" s="29"/>
      <c r="AL183" s="29"/>
      <c r="AM183" s="30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5">
        <f t="shared" si="4"/>
        <v>10</v>
      </c>
      <c r="BJ183" s="27" t="s">
        <v>26</v>
      </c>
      <c r="BK183" s="29"/>
    </row>
    <row r="184" spans="1:65" s="8" customFormat="1" ht="11.25">
      <c r="A184" s="8" t="s">
        <v>233</v>
      </c>
      <c r="B184" s="9" t="s">
        <v>124</v>
      </c>
      <c r="C184" s="9" t="s">
        <v>47</v>
      </c>
      <c r="D184" s="27" t="s">
        <v>26</v>
      </c>
      <c r="E184" s="5"/>
      <c r="F184" s="5">
        <v>10</v>
      </c>
      <c r="G184" s="2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11"/>
      <c r="AD184" s="5"/>
      <c r="AE184" s="5"/>
      <c r="AF184" s="5"/>
      <c r="AG184" s="5"/>
      <c r="AH184" s="5"/>
      <c r="AI184" s="5"/>
      <c r="AJ184" s="5"/>
      <c r="AK184" s="5"/>
      <c r="AL184" s="5"/>
      <c r="AM184" s="22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>
        <f t="shared" si="4"/>
        <v>10</v>
      </c>
      <c r="BJ184" s="27" t="s">
        <v>26</v>
      </c>
      <c r="BK184" s="5"/>
      <c r="BM184" s="9"/>
    </row>
    <row r="185" spans="1:63" s="8" customFormat="1" ht="11.25">
      <c r="A185" s="8" t="s">
        <v>234</v>
      </c>
      <c r="B185" s="9" t="s">
        <v>140</v>
      </c>
      <c r="C185" s="9" t="str">
        <f>"A/4"</f>
        <v>A/4</v>
      </c>
      <c r="D185" s="27" t="s">
        <v>26</v>
      </c>
      <c r="E185" s="5">
        <v>100</v>
      </c>
      <c r="F185" s="5">
        <v>50</v>
      </c>
      <c r="G185" s="5">
        <v>100</v>
      </c>
      <c r="H185" s="22"/>
      <c r="I185" s="5"/>
      <c r="J185" s="5">
        <v>100</v>
      </c>
      <c r="K185" s="5">
        <v>100</v>
      </c>
      <c r="L185" s="5">
        <v>100</v>
      </c>
      <c r="M185" s="5"/>
      <c r="N185" s="5"/>
      <c r="O185" s="5">
        <v>100</v>
      </c>
      <c r="P185" s="5"/>
      <c r="Q185" s="5">
        <v>100</v>
      </c>
      <c r="R185" s="5">
        <v>50</v>
      </c>
      <c r="S185" s="5"/>
      <c r="T185" s="5">
        <v>100</v>
      </c>
      <c r="U185" s="5"/>
      <c r="V185" s="5"/>
      <c r="W185" s="5"/>
      <c r="X185" s="5"/>
      <c r="Y185" s="5"/>
      <c r="Z185" s="5"/>
      <c r="AA185" s="5"/>
      <c r="AB185" s="5"/>
      <c r="AC185" s="11"/>
      <c r="AD185" s="5"/>
      <c r="AE185" s="5"/>
      <c r="AF185" s="5"/>
      <c r="AG185" s="5"/>
      <c r="AH185" s="5"/>
      <c r="AI185" s="5"/>
      <c r="AJ185" s="5"/>
      <c r="AK185" s="5"/>
      <c r="AL185" s="5"/>
      <c r="AM185" s="22"/>
      <c r="AN185" s="5"/>
      <c r="AO185" s="5"/>
      <c r="AP185" s="5"/>
      <c r="AQ185" s="5"/>
      <c r="AR185" s="5"/>
      <c r="AS185" s="5"/>
      <c r="AT185" s="5"/>
      <c r="AU185" s="5"/>
      <c r="AV185" s="5">
        <v>50</v>
      </c>
      <c r="AW185" s="5">
        <v>100</v>
      </c>
      <c r="AX185" s="5">
        <v>100</v>
      </c>
      <c r="AY185" s="5"/>
      <c r="AZ185" s="5"/>
      <c r="BA185" s="5"/>
      <c r="BB185" s="5"/>
      <c r="BC185" s="5"/>
      <c r="BD185" s="5"/>
      <c r="BE185" s="5">
        <v>500</v>
      </c>
      <c r="BF185" s="5"/>
      <c r="BG185" s="5"/>
      <c r="BH185" s="5"/>
      <c r="BI185" s="5">
        <f t="shared" si="4"/>
        <v>1650</v>
      </c>
      <c r="BJ185" s="27" t="s">
        <v>26</v>
      </c>
      <c r="BK185" s="5"/>
    </row>
    <row r="186" spans="1:63" s="8" customFormat="1" ht="11.25">
      <c r="A186" s="8" t="s">
        <v>235</v>
      </c>
      <c r="B186" s="9" t="s">
        <v>123</v>
      </c>
      <c r="C186" s="9" t="s">
        <v>122</v>
      </c>
      <c r="D186" s="27" t="s">
        <v>26</v>
      </c>
      <c r="E186" s="5">
        <v>20</v>
      </c>
      <c r="F186" s="5"/>
      <c r="G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>
        <v>10</v>
      </c>
      <c r="U186" s="5"/>
      <c r="V186" s="5"/>
      <c r="W186" s="5"/>
      <c r="X186" s="5"/>
      <c r="Y186" s="5"/>
      <c r="Z186" s="5"/>
      <c r="AA186" s="5"/>
      <c r="AB186" s="5"/>
      <c r="AC186" s="11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>
        <v>10</v>
      </c>
      <c r="AW186" s="5">
        <v>10</v>
      </c>
      <c r="AX186" s="5">
        <v>10</v>
      </c>
      <c r="AY186" s="5"/>
      <c r="AZ186" s="5"/>
      <c r="BA186" s="5"/>
      <c r="BB186" s="5"/>
      <c r="BC186" s="5"/>
      <c r="BD186" s="5"/>
      <c r="BE186" s="5">
        <v>20</v>
      </c>
      <c r="BF186" s="5"/>
      <c r="BG186" s="5"/>
      <c r="BH186" s="5"/>
      <c r="BI186" s="5">
        <f t="shared" si="4"/>
        <v>80</v>
      </c>
      <c r="BJ186" s="27" t="s">
        <v>26</v>
      </c>
      <c r="BK186" s="5"/>
    </row>
    <row r="187" spans="1:65" s="9" customFormat="1" ht="11.25">
      <c r="A187" s="9" t="s">
        <v>236</v>
      </c>
      <c r="B187" s="9" t="s">
        <v>80</v>
      </c>
      <c r="D187" s="27" t="s">
        <v>26</v>
      </c>
      <c r="E187" s="4">
        <v>20</v>
      </c>
      <c r="F187" s="4"/>
      <c r="G187" s="4"/>
      <c r="H187" s="22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10"/>
      <c r="AD187" s="4"/>
      <c r="AE187" s="4"/>
      <c r="AF187" s="4"/>
      <c r="AG187" s="4"/>
      <c r="AH187" s="4"/>
      <c r="AI187" s="4"/>
      <c r="AJ187" s="4"/>
      <c r="AK187" s="4"/>
      <c r="AL187" s="4"/>
      <c r="AM187" s="22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>
        <v>2</v>
      </c>
      <c r="BF187" s="4"/>
      <c r="BG187" s="4"/>
      <c r="BH187" s="4"/>
      <c r="BI187" s="5">
        <f t="shared" si="4"/>
        <v>22</v>
      </c>
      <c r="BJ187" s="27" t="s">
        <v>26</v>
      </c>
      <c r="BK187" s="4"/>
      <c r="BM187" s="8"/>
    </row>
    <row r="188" spans="1:65" s="9" customFormat="1" ht="11.25">
      <c r="A188" s="9" t="s">
        <v>237</v>
      </c>
      <c r="B188" s="9" t="s">
        <v>144</v>
      </c>
      <c r="C188" s="9" t="s">
        <v>145</v>
      </c>
      <c r="D188" s="27" t="s">
        <v>26</v>
      </c>
      <c r="E188" s="4"/>
      <c r="F188" s="4"/>
      <c r="G188" s="4"/>
      <c r="H188" s="22"/>
      <c r="I188" s="4"/>
      <c r="J188" s="4">
        <v>2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10"/>
      <c r="AD188" s="4"/>
      <c r="AE188" s="4"/>
      <c r="AF188" s="4"/>
      <c r="AG188" s="4"/>
      <c r="AH188" s="4"/>
      <c r="AI188" s="4"/>
      <c r="AJ188" s="4"/>
      <c r="AK188" s="4"/>
      <c r="AL188" s="4"/>
      <c r="AM188" s="22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>
        <v>1</v>
      </c>
      <c r="BD188" s="4"/>
      <c r="BE188" s="4"/>
      <c r="BF188" s="4"/>
      <c r="BG188" s="4"/>
      <c r="BH188" s="4"/>
      <c r="BI188" s="5">
        <f t="shared" si="4"/>
        <v>3</v>
      </c>
      <c r="BJ188" s="27" t="s">
        <v>26</v>
      </c>
      <c r="BK188" s="4"/>
      <c r="BM188" s="8"/>
    </row>
    <row r="189" spans="1:65" s="9" customFormat="1" ht="11.25">
      <c r="A189" s="9" t="s">
        <v>238</v>
      </c>
      <c r="B189" s="9" t="s">
        <v>166</v>
      </c>
      <c r="C189" s="9" t="s">
        <v>162</v>
      </c>
      <c r="D189" s="27" t="s">
        <v>26</v>
      </c>
      <c r="E189" s="4"/>
      <c r="F189" s="4"/>
      <c r="G189" s="4"/>
      <c r="H189" s="22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>
        <v>1</v>
      </c>
      <c r="X189" s="4"/>
      <c r="Y189" s="4"/>
      <c r="Z189" s="4"/>
      <c r="AA189" s="4"/>
      <c r="AB189" s="4"/>
      <c r="AC189" s="10"/>
      <c r="AD189" s="4"/>
      <c r="AE189" s="4"/>
      <c r="AF189" s="4"/>
      <c r="AG189" s="4"/>
      <c r="AH189" s="4"/>
      <c r="AI189" s="4"/>
      <c r="AJ189" s="4"/>
      <c r="AK189" s="4"/>
      <c r="AL189" s="4"/>
      <c r="AM189" s="22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5">
        <f t="shared" si="4"/>
        <v>1</v>
      </c>
      <c r="BJ189" s="27" t="s">
        <v>26</v>
      </c>
      <c r="BK189" s="4"/>
      <c r="BM189" s="8"/>
    </row>
    <row r="190" spans="1:63" s="9" customFormat="1" ht="11.25">
      <c r="A190" s="9" t="s">
        <v>239</v>
      </c>
      <c r="B190" s="9" t="str">
        <f>"GOLYÓSTOLL (PENAC RB-085 B.)"</f>
        <v>GOLYÓSTOLL (PENAC RB-085 B.)</v>
      </c>
      <c r="C190" s="9" t="s">
        <v>45</v>
      </c>
      <c r="D190" s="27" t="s">
        <v>26</v>
      </c>
      <c r="E190" s="4"/>
      <c r="F190" s="4">
        <v>5</v>
      </c>
      <c r="G190" s="4"/>
      <c r="H190" s="22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10"/>
      <c r="AD190" s="4"/>
      <c r="AE190" s="4"/>
      <c r="AF190" s="4"/>
      <c r="AG190" s="4"/>
      <c r="AH190" s="4"/>
      <c r="AI190" s="4"/>
      <c r="AJ190" s="4"/>
      <c r="AK190" s="4"/>
      <c r="AL190" s="4"/>
      <c r="AM190" s="22"/>
      <c r="AN190" s="4"/>
      <c r="AO190" s="4"/>
      <c r="AP190" s="4"/>
      <c r="AQ190" s="4"/>
      <c r="AR190" s="4"/>
      <c r="AS190" s="4"/>
      <c r="AT190" s="4"/>
      <c r="AU190" s="4">
        <v>3</v>
      </c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5">
        <f t="shared" si="4"/>
        <v>8</v>
      </c>
      <c r="BJ190" s="27" t="s">
        <v>26</v>
      </c>
      <c r="BK190" s="4"/>
    </row>
    <row r="191" spans="2:63" s="8" customFormat="1" ht="11.25" hidden="1">
      <c r="B191" s="9" t="str">
        <f>"IRATMEGSEMMISÍTŐ GÉP (FELLOWES)"</f>
        <v>IRATMEGSEMMISÍTŐ GÉP (FELLOWES)</v>
      </c>
      <c r="C191" s="9" t="str">
        <f>"P-35C"</f>
        <v>P-35C</v>
      </c>
      <c r="D191" s="27"/>
      <c r="E191" s="5"/>
      <c r="F191" s="5"/>
      <c r="G191" s="5"/>
      <c r="H191" s="2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11"/>
      <c r="AD191" s="5"/>
      <c r="AE191" s="5"/>
      <c r="AF191" s="5"/>
      <c r="AG191" s="5"/>
      <c r="AH191" s="5"/>
      <c r="AI191" s="5"/>
      <c r="AJ191" s="5"/>
      <c r="AK191" s="5"/>
      <c r="AL191" s="5"/>
      <c r="AM191" s="22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>
        <f t="shared" si="4"/>
        <v>0</v>
      </c>
      <c r="BJ191" s="27"/>
      <c r="BK191" s="5"/>
    </row>
    <row r="192" spans="1:63" s="9" customFormat="1" ht="11.25">
      <c r="A192" s="9" t="s">
        <v>240</v>
      </c>
      <c r="B192" s="9" t="s">
        <v>93</v>
      </c>
      <c r="C192" s="9" t="s">
        <v>78</v>
      </c>
      <c r="D192" s="27" t="s">
        <v>26</v>
      </c>
      <c r="E192" s="4"/>
      <c r="F192" s="4">
        <v>10</v>
      </c>
      <c r="G192" s="4"/>
      <c r="H192" s="22">
        <v>7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>
        <v>10</v>
      </c>
      <c r="W192" s="4"/>
      <c r="X192" s="4"/>
      <c r="Y192" s="4"/>
      <c r="Z192" s="4"/>
      <c r="AA192" s="4"/>
      <c r="AB192" s="4"/>
      <c r="AC192" s="10"/>
      <c r="AD192" s="4"/>
      <c r="AE192" s="4"/>
      <c r="AF192" s="4"/>
      <c r="AG192" s="4"/>
      <c r="AH192" s="4"/>
      <c r="AI192" s="4"/>
      <c r="AJ192" s="4"/>
      <c r="AK192" s="4"/>
      <c r="AL192" s="4"/>
      <c r="AM192" s="22"/>
      <c r="AN192" s="4"/>
      <c r="AO192" s="4"/>
      <c r="AP192" s="4"/>
      <c r="AQ192" s="4">
        <v>10</v>
      </c>
      <c r="AR192" s="4">
        <v>10</v>
      </c>
      <c r="AS192" s="4">
        <v>10</v>
      </c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>
        <v>5</v>
      </c>
      <c r="BF192" s="4"/>
      <c r="BG192" s="4"/>
      <c r="BH192" s="4"/>
      <c r="BI192" s="5">
        <f t="shared" si="4"/>
        <v>62</v>
      </c>
      <c r="BJ192" s="27" t="s">
        <v>26</v>
      </c>
      <c r="BK192" s="4"/>
    </row>
    <row r="193" spans="1:63" s="9" customFormat="1" ht="11.25">
      <c r="A193" s="9" t="s">
        <v>241</v>
      </c>
      <c r="B193" s="9" t="s">
        <v>93</v>
      </c>
      <c r="C193" s="9" t="s">
        <v>79</v>
      </c>
      <c r="D193" s="27" t="s">
        <v>26</v>
      </c>
      <c r="E193" s="4"/>
      <c r="F193" s="4"/>
      <c r="G193" s="4"/>
      <c r="H193" s="22"/>
      <c r="I193" s="4"/>
      <c r="J193" s="4"/>
      <c r="K193" s="4">
        <v>2</v>
      </c>
      <c r="L193" s="4">
        <v>2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10"/>
      <c r="AD193" s="4"/>
      <c r="AE193" s="4"/>
      <c r="AF193" s="4"/>
      <c r="AG193" s="4"/>
      <c r="AH193" s="4"/>
      <c r="AI193" s="4"/>
      <c r="AJ193" s="4"/>
      <c r="AK193" s="4"/>
      <c r="AL193" s="4"/>
      <c r="AM193" s="22"/>
      <c r="AN193" s="4"/>
      <c r="AO193" s="4"/>
      <c r="AP193" s="4"/>
      <c r="AQ193" s="4"/>
      <c r="AR193" s="4">
        <v>2</v>
      </c>
      <c r="AS193" s="4">
        <v>2</v>
      </c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5">
        <f t="shared" si="4"/>
        <v>8</v>
      </c>
      <c r="BJ193" s="27" t="s">
        <v>26</v>
      </c>
      <c r="BK193" s="4"/>
    </row>
    <row r="194" spans="1:63" s="9" customFormat="1" ht="11.25">
      <c r="A194" s="9" t="s">
        <v>242</v>
      </c>
      <c r="B194" s="9" t="s">
        <v>93</v>
      </c>
      <c r="C194" s="9" t="s">
        <v>151</v>
      </c>
      <c r="D194" s="27" t="s">
        <v>26</v>
      </c>
      <c r="E194" s="4"/>
      <c r="F194" s="4"/>
      <c r="G194" s="4"/>
      <c r="H194" s="22"/>
      <c r="I194" s="4"/>
      <c r="J194" s="4"/>
      <c r="K194" s="4">
        <v>2</v>
      </c>
      <c r="L194" s="4">
        <v>2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10"/>
      <c r="AD194" s="4"/>
      <c r="AE194" s="4"/>
      <c r="AF194" s="4"/>
      <c r="AG194" s="4"/>
      <c r="AH194" s="4"/>
      <c r="AI194" s="4"/>
      <c r="AJ194" s="4"/>
      <c r="AK194" s="4"/>
      <c r="AL194" s="4"/>
      <c r="AM194" s="22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5">
        <f t="shared" si="4"/>
        <v>4</v>
      </c>
      <c r="BJ194" s="27" t="s">
        <v>26</v>
      </c>
      <c r="BK194" s="4"/>
    </row>
    <row r="195" spans="1:63" s="9" customFormat="1" ht="11.25">
      <c r="A195" s="9" t="s">
        <v>243</v>
      </c>
      <c r="B195" s="9" t="s">
        <v>129</v>
      </c>
      <c r="C195" s="9" t="s">
        <v>78</v>
      </c>
      <c r="D195" s="27" t="s">
        <v>26</v>
      </c>
      <c r="E195" s="4">
        <v>20</v>
      </c>
      <c r="F195" s="4">
        <v>10</v>
      </c>
      <c r="G195" s="4">
        <v>24</v>
      </c>
      <c r="H195" s="22"/>
      <c r="I195" s="4">
        <v>48</v>
      </c>
      <c r="J195" s="4">
        <v>36</v>
      </c>
      <c r="K195" s="4"/>
      <c r="L195" s="4"/>
      <c r="M195" s="4"/>
      <c r="N195" s="4"/>
      <c r="O195" s="4"/>
      <c r="P195" s="4"/>
      <c r="Q195" s="4">
        <v>5</v>
      </c>
      <c r="R195" s="4"/>
      <c r="S195" s="4"/>
      <c r="T195" s="4"/>
      <c r="U195" s="4"/>
      <c r="V195" s="4"/>
      <c r="W195" s="4"/>
      <c r="X195" s="4"/>
      <c r="Y195" s="4"/>
      <c r="Z195" s="4">
        <v>1</v>
      </c>
      <c r="AA195" s="4"/>
      <c r="AB195" s="4"/>
      <c r="AC195" s="10"/>
      <c r="AD195" s="4"/>
      <c r="AE195" s="4"/>
      <c r="AF195" s="4"/>
      <c r="AG195" s="4"/>
      <c r="AH195" s="4"/>
      <c r="AI195" s="4"/>
      <c r="AJ195" s="4"/>
      <c r="AK195" s="4"/>
      <c r="AL195" s="4"/>
      <c r="AM195" s="22"/>
      <c r="AN195" s="4"/>
      <c r="AO195" s="4"/>
      <c r="AP195" s="4"/>
      <c r="AQ195" s="4"/>
      <c r="AR195" s="4"/>
      <c r="AS195" s="4">
        <v>3</v>
      </c>
      <c r="AT195" s="4"/>
      <c r="AU195" s="4"/>
      <c r="AV195" s="4">
        <v>2</v>
      </c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>
        <v>10</v>
      </c>
      <c r="BH195" s="4"/>
      <c r="BI195" s="5">
        <f t="shared" si="4"/>
        <v>159</v>
      </c>
      <c r="BJ195" s="27" t="s">
        <v>26</v>
      </c>
      <c r="BK195" s="4"/>
    </row>
    <row r="196" spans="1:63" s="9" customFormat="1" ht="11.25">
      <c r="A196" s="9" t="s">
        <v>244</v>
      </c>
      <c r="B196" s="9" t="s">
        <v>129</v>
      </c>
      <c r="C196" s="9" t="s">
        <v>79</v>
      </c>
      <c r="D196" s="27" t="s">
        <v>26</v>
      </c>
      <c r="E196" s="4"/>
      <c r="F196" s="4"/>
      <c r="G196" s="4"/>
      <c r="H196" s="22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10"/>
      <c r="AD196" s="4"/>
      <c r="AE196" s="4"/>
      <c r="AF196" s="4"/>
      <c r="AG196" s="4"/>
      <c r="AH196" s="4"/>
      <c r="AI196" s="4"/>
      <c r="AJ196" s="4"/>
      <c r="AK196" s="4"/>
      <c r="AL196" s="4"/>
      <c r="AM196" s="22"/>
      <c r="AN196" s="4"/>
      <c r="AO196" s="4"/>
      <c r="AP196" s="4"/>
      <c r="AQ196" s="4"/>
      <c r="AR196" s="4">
        <v>3</v>
      </c>
      <c r="AS196" s="4"/>
      <c r="AT196" s="4"/>
      <c r="AU196" s="4"/>
      <c r="AV196" s="4">
        <v>2</v>
      </c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5">
        <f t="shared" si="4"/>
        <v>5</v>
      </c>
      <c r="BJ196" s="27" t="s">
        <v>26</v>
      </c>
      <c r="BK196" s="4"/>
    </row>
    <row r="197" spans="1:63" s="9" customFormat="1" ht="11.25">
      <c r="A197" s="9" t="s">
        <v>245</v>
      </c>
      <c r="B197" s="9" t="str">
        <f>"GOLYÓSTOLL (ZEBRA F-301)"</f>
        <v>GOLYÓSTOLL (ZEBRA F-301)</v>
      </c>
      <c r="C197" s="9" t="s">
        <v>78</v>
      </c>
      <c r="D197" s="27" t="s">
        <v>26</v>
      </c>
      <c r="E197" s="4">
        <v>5</v>
      </c>
      <c r="F197" s="4">
        <v>10</v>
      </c>
      <c r="G197" s="4"/>
      <c r="H197" s="22">
        <v>2</v>
      </c>
      <c r="I197" s="4">
        <v>4</v>
      </c>
      <c r="J197" s="4"/>
      <c r="K197" s="4"/>
      <c r="L197" s="4"/>
      <c r="M197" s="4"/>
      <c r="N197" s="4">
        <v>10</v>
      </c>
      <c r="O197" s="4"/>
      <c r="P197" s="4"/>
      <c r="Q197" s="4"/>
      <c r="R197" s="4"/>
      <c r="S197" s="4"/>
      <c r="T197" s="4"/>
      <c r="U197" s="4"/>
      <c r="V197" s="4">
        <v>5</v>
      </c>
      <c r="W197" s="4"/>
      <c r="X197" s="4">
        <v>2</v>
      </c>
      <c r="Y197" s="4"/>
      <c r="Z197" s="4"/>
      <c r="AA197" s="4"/>
      <c r="AB197" s="4">
        <v>1</v>
      </c>
      <c r="AC197" s="10"/>
      <c r="AD197" s="4"/>
      <c r="AE197" s="4"/>
      <c r="AF197" s="4"/>
      <c r="AG197" s="4"/>
      <c r="AH197" s="4"/>
      <c r="AI197" s="4"/>
      <c r="AJ197" s="4"/>
      <c r="AK197" s="4"/>
      <c r="AL197" s="4"/>
      <c r="AM197" s="22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>
        <v>1</v>
      </c>
      <c r="BA197" s="4"/>
      <c r="BB197" s="4"/>
      <c r="BC197" s="4"/>
      <c r="BD197" s="4">
        <v>1</v>
      </c>
      <c r="BE197" s="4">
        <v>4</v>
      </c>
      <c r="BF197" s="4"/>
      <c r="BG197" s="4">
        <v>2</v>
      </c>
      <c r="BH197" s="4"/>
      <c r="BI197" s="5">
        <f t="shared" si="4"/>
        <v>47</v>
      </c>
      <c r="BJ197" s="27" t="s">
        <v>26</v>
      </c>
      <c r="BK197" s="4"/>
    </row>
    <row r="198" spans="1:63" s="9" customFormat="1" ht="11.25">
      <c r="A198" s="9" t="s">
        <v>246</v>
      </c>
      <c r="B198" s="9" t="str">
        <f>"GOLYÓSTOLL (ZEBRA F-301)"</f>
        <v>GOLYÓSTOLL (ZEBRA F-301)</v>
      </c>
      <c r="C198" s="9" t="s">
        <v>79</v>
      </c>
      <c r="D198" s="27" t="s">
        <v>26</v>
      </c>
      <c r="E198" s="4"/>
      <c r="F198" s="4"/>
      <c r="G198" s="4"/>
      <c r="H198" s="22"/>
      <c r="I198" s="4"/>
      <c r="J198" s="4"/>
      <c r="K198" s="4"/>
      <c r="L198" s="4"/>
      <c r="M198" s="4"/>
      <c r="N198" s="4">
        <v>2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10"/>
      <c r="AD198" s="4"/>
      <c r="AE198" s="4"/>
      <c r="AF198" s="4"/>
      <c r="AG198" s="4"/>
      <c r="AH198" s="4"/>
      <c r="AI198" s="4"/>
      <c r="AJ198" s="4"/>
      <c r="AK198" s="4"/>
      <c r="AL198" s="4"/>
      <c r="AM198" s="22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>
        <v>2</v>
      </c>
      <c r="BF198" s="4"/>
      <c r="BG198" s="4"/>
      <c r="BH198" s="4"/>
      <c r="BI198" s="5">
        <f aca="true" t="shared" si="6" ref="BI198:BI261">SUM(E198:BH198)</f>
        <v>4</v>
      </c>
      <c r="BJ198" s="27" t="s">
        <v>26</v>
      </c>
      <c r="BK198" s="4"/>
    </row>
    <row r="199" spans="1:63" s="9" customFormat="1" ht="11.25">
      <c r="A199" s="9" t="s">
        <v>247</v>
      </c>
      <c r="B199" s="9" t="s">
        <v>167</v>
      </c>
      <c r="C199" s="9" t="s">
        <v>168</v>
      </c>
      <c r="D199" s="27" t="s">
        <v>26</v>
      </c>
      <c r="E199" s="4"/>
      <c r="F199" s="4"/>
      <c r="G199" s="4"/>
      <c r="H199" s="22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>
        <v>1</v>
      </c>
      <c r="X199" s="4"/>
      <c r="Y199" s="4"/>
      <c r="Z199" s="4"/>
      <c r="AA199" s="4"/>
      <c r="AB199" s="4"/>
      <c r="AC199" s="10"/>
      <c r="AD199" s="4"/>
      <c r="AE199" s="4"/>
      <c r="AF199" s="4"/>
      <c r="AG199" s="4"/>
      <c r="AH199" s="4"/>
      <c r="AI199" s="4"/>
      <c r="AJ199" s="4"/>
      <c r="AK199" s="4"/>
      <c r="AL199" s="4"/>
      <c r="AM199" s="22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5">
        <f t="shared" si="6"/>
        <v>1</v>
      </c>
      <c r="BJ199" s="27" t="s">
        <v>26</v>
      </c>
      <c r="BK199" s="4"/>
    </row>
    <row r="200" spans="1:63" s="9" customFormat="1" ht="11.25">
      <c r="A200" s="9" t="s">
        <v>248</v>
      </c>
      <c r="B200" s="9" t="s">
        <v>84</v>
      </c>
      <c r="C200" s="9" t="s">
        <v>85</v>
      </c>
      <c r="D200" s="27" t="s">
        <v>171</v>
      </c>
      <c r="E200" s="4"/>
      <c r="F200" s="4"/>
      <c r="G200" s="4"/>
      <c r="H200" s="22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10"/>
      <c r="AD200" s="4"/>
      <c r="AE200" s="4"/>
      <c r="AF200" s="4"/>
      <c r="AG200" s="4"/>
      <c r="AH200" s="4"/>
      <c r="AI200" s="4"/>
      <c r="AJ200" s="4"/>
      <c r="AK200" s="4"/>
      <c r="AL200" s="4"/>
      <c r="AM200" s="22"/>
      <c r="AN200" s="4"/>
      <c r="AO200" s="4"/>
      <c r="AP200" s="4"/>
      <c r="AQ200" s="4"/>
      <c r="AR200" s="4"/>
      <c r="AS200" s="4"/>
      <c r="AT200" s="4"/>
      <c r="AU200" s="4"/>
      <c r="AV200" s="4"/>
      <c r="AW200" s="4">
        <v>1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5">
        <f t="shared" si="6"/>
        <v>1</v>
      </c>
      <c r="BJ200" s="27" t="s">
        <v>171</v>
      </c>
      <c r="BK200" s="4"/>
    </row>
    <row r="201" spans="1:63" s="8" customFormat="1" ht="11.25">
      <c r="A201" s="8" t="s">
        <v>249</v>
      </c>
      <c r="B201" s="8" t="s">
        <v>130</v>
      </c>
      <c r="C201" s="8" t="s">
        <v>131</v>
      </c>
      <c r="D201" s="27" t="s">
        <v>26</v>
      </c>
      <c r="E201" s="5"/>
      <c r="F201" s="5">
        <v>10</v>
      </c>
      <c r="G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11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>
        <v>1</v>
      </c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>
        <f t="shared" si="6"/>
        <v>11</v>
      </c>
      <c r="BJ201" s="27" t="s">
        <v>26</v>
      </c>
      <c r="BK201" s="5"/>
    </row>
    <row r="202" spans="2:63" s="8" customFormat="1" ht="11.25" hidden="1">
      <c r="B202" s="9" t="s">
        <v>50</v>
      </c>
      <c r="C202" s="9" t="str">
        <f>"A/4"</f>
        <v>A/4</v>
      </c>
      <c r="D202" s="27" t="s">
        <v>26</v>
      </c>
      <c r="E202" s="5"/>
      <c r="F202" s="5"/>
      <c r="G202" s="5"/>
      <c r="H202" s="2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11"/>
      <c r="AD202" s="5"/>
      <c r="AE202" s="5"/>
      <c r="AF202" s="5"/>
      <c r="AG202" s="5"/>
      <c r="AH202" s="5"/>
      <c r="AI202" s="5"/>
      <c r="AJ202" s="5"/>
      <c r="AK202" s="5"/>
      <c r="AL202" s="5"/>
      <c r="AM202" s="22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>
        <f t="shared" si="6"/>
        <v>0</v>
      </c>
      <c r="BJ202" s="27" t="s">
        <v>26</v>
      </c>
      <c r="BK202" s="5"/>
    </row>
    <row r="203" spans="1:63" s="9" customFormat="1" ht="11.25">
      <c r="A203" s="9" t="s">
        <v>250</v>
      </c>
      <c r="B203" s="9" t="str">
        <f>"HIBAJAVÍTÓ ROLLER"</f>
        <v>HIBAJAVÍTÓ ROLLER</v>
      </c>
      <c r="C203" s="9" t="s">
        <v>149</v>
      </c>
      <c r="D203" s="27" t="s">
        <v>26</v>
      </c>
      <c r="E203" s="4">
        <v>3</v>
      </c>
      <c r="F203" s="4">
        <v>2</v>
      </c>
      <c r="G203" s="4"/>
      <c r="H203" s="22"/>
      <c r="I203" s="4"/>
      <c r="J203" s="4">
        <v>4</v>
      </c>
      <c r="K203" s="4">
        <v>2</v>
      </c>
      <c r="L203" s="4">
        <v>2</v>
      </c>
      <c r="M203" s="4"/>
      <c r="N203" s="4"/>
      <c r="O203" s="4">
        <v>1</v>
      </c>
      <c r="P203" s="4"/>
      <c r="Q203" s="4">
        <v>1</v>
      </c>
      <c r="R203" s="4">
        <v>1</v>
      </c>
      <c r="S203" s="4"/>
      <c r="T203" s="4"/>
      <c r="U203" s="4"/>
      <c r="V203" s="4"/>
      <c r="W203" s="4"/>
      <c r="X203" s="4">
        <v>2</v>
      </c>
      <c r="Y203" s="4"/>
      <c r="Z203" s="4"/>
      <c r="AA203" s="4"/>
      <c r="AB203" s="4"/>
      <c r="AC203" s="10"/>
      <c r="AD203" s="4"/>
      <c r="AE203" s="4"/>
      <c r="AF203" s="4"/>
      <c r="AG203" s="4"/>
      <c r="AH203" s="4"/>
      <c r="AI203" s="4"/>
      <c r="AJ203" s="4"/>
      <c r="AK203" s="4"/>
      <c r="AL203" s="4"/>
      <c r="AM203" s="22"/>
      <c r="AN203" s="4"/>
      <c r="AO203" s="4"/>
      <c r="AP203" s="4"/>
      <c r="AQ203" s="4"/>
      <c r="AR203" s="4">
        <v>2</v>
      </c>
      <c r="AS203" s="4">
        <v>2</v>
      </c>
      <c r="AT203" s="4"/>
      <c r="AU203" s="4"/>
      <c r="AV203" s="4">
        <v>1</v>
      </c>
      <c r="AW203" s="4">
        <v>1</v>
      </c>
      <c r="AX203" s="4">
        <v>1</v>
      </c>
      <c r="AY203" s="4"/>
      <c r="AZ203" s="4">
        <v>2</v>
      </c>
      <c r="BA203" s="4"/>
      <c r="BB203" s="4"/>
      <c r="BC203" s="4">
        <v>1</v>
      </c>
      <c r="BD203" s="4">
        <v>1</v>
      </c>
      <c r="BE203" s="4">
        <v>3</v>
      </c>
      <c r="BF203" s="4"/>
      <c r="BG203" s="4"/>
      <c r="BH203" s="4"/>
      <c r="BI203" s="5">
        <f t="shared" si="6"/>
        <v>32</v>
      </c>
      <c r="BJ203" s="27" t="s">
        <v>26</v>
      </c>
      <c r="BK203" s="4"/>
    </row>
    <row r="204" spans="1:63" s="9" customFormat="1" ht="11.25">
      <c r="A204" s="9" t="s">
        <v>251</v>
      </c>
      <c r="B204" s="9" t="s">
        <v>37</v>
      </c>
      <c r="C204" s="9" t="str">
        <f>"PRITT"</f>
        <v>PRITT</v>
      </c>
      <c r="D204" s="27" t="s">
        <v>26</v>
      </c>
      <c r="E204" s="4"/>
      <c r="F204" s="4">
        <v>2</v>
      </c>
      <c r="G204" s="4"/>
      <c r="H204" s="22"/>
      <c r="I204" s="4"/>
      <c r="J204" s="4"/>
      <c r="K204" s="4"/>
      <c r="L204" s="4"/>
      <c r="M204" s="4"/>
      <c r="N204" s="4">
        <v>2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10"/>
      <c r="AD204" s="4"/>
      <c r="AE204" s="4"/>
      <c r="AF204" s="4"/>
      <c r="AG204" s="4"/>
      <c r="AH204" s="4"/>
      <c r="AI204" s="4"/>
      <c r="AJ204" s="4"/>
      <c r="AK204" s="4"/>
      <c r="AL204" s="4"/>
      <c r="AM204" s="22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5">
        <f t="shared" si="6"/>
        <v>4</v>
      </c>
      <c r="BJ204" s="27" t="s">
        <v>26</v>
      </c>
      <c r="BK204" s="4"/>
    </row>
    <row r="205" spans="1:63" s="9" customFormat="1" ht="11.25">
      <c r="A205" s="9" t="s">
        <v>252</v>
      </c>
      <c r="B205" s="9" t="s">
        <v>86</v>
      </c>
      <c r="C205" s="9" t="s">
        <v>87</v>
      </c>
      <c r="D205" s="27" t="s">
        <v>26</v>
      </c>
      <c r="E205" s="4"/>
      <c r="F205" s="4"/>
      <c r="G205" s="4"/>
      <c r="H205" s="22"/>
      <c r="I205" s="4"/>
      <c r="J205" s="4"/>
      <c r="K205" s="4">
        <v>2</v>
      </c>
      <c r="L205" s="4">
        <v>2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10"/>
      <c r="AD205" s="4"/>
      <c r="AE205" s="4"/>
      <c r="AF205" s="4"/>
      <c r="AG205" s="4"/>
      <c r="AH205" s="4"/>
      <c r="AI205" s="4"/>
      <c r="AJ205" s="4"/>
      <c r="AK205" s="4"/>
      <c r="AL205" s="4"/>
      <c r="AM205" s="22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5">
        <f t="shared" si="6"/>
        <v>4</v>
      </c>
      <c r="BJ205" s="27" t="s">
        <v>26</v>
      </c>
      <c r="BK205" s="4"/>
    </row>
    <row r="206" spans="1:63" s="8" customFormat="1" ht="11.25">
      <c r="A206" s="8" t="s">
        <v>253</v>
      </c>
      <c r="B206" s="9" t="s">
        <v>61</v>
      </c>
      <c r="C206" s="9" t="s">
        <v>62</v>
      </c>
      <c r="D206" s="27" t="s">
        <v>26</v>
      </c>
      <c r="E206" s="5"/>
      <c r="F206" s="5"/>
      <c r="G206" s="5"/>
      <c r="H206" s="2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11"/>
      <c r="AD206" s="5"/>
      <c r="AE206" s="5"/>
      <c r="AF206" s="5"/>
      <c r="AG206" s="5"/>
      <c r="AH206" s="5"/>
      <c r="AI206" s="5"/>
      <c r="AJ206" s="5"/>
      <c r="AK206" s="5"/>
      <c r="AL206" s="5"/>
      <c r="AM206" s="22"/>
      <c r="AN206" s="5"/>
      <c r="AO206" s="5"/>
      <c r="AP206" s="5"/>
      <c r="AQ206" s="5"/>
      <c r="AR206" s="5">
        <v>10</v>
      </c>
      <c r="AS206" s="5">
        <v>10</v>
      </c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>
        <f t="shared" si="6"/>
        <v>20</v>
      </c>
      <c r="BJ206" s="27" t="s">
        <v>26</v>
      </c>
      <c r="BK206" s="5"/>
    </row>
    <row r="207" spans="2:63" s="8" customFormat="1" ht="11.25" hidden="1">
      <c r="B207" s="9" t="str">
        <f>"IRATTÁLCA,MŰA."</f>
        <v>IRATTÁLCA,MŰA.</v>
      </c>
      <c r="C207" s="9"/>
      <c r="D207" s="27" t="s">
        <v>26</v>
      </c>
      <c r="E207" s="5"/>
      <c r="F207" s="5"/>
      <c r="G207" s="5"/>
      <c r="H207" s="2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11"/>
      <c r="AD207" s="5"/>
      <c r="AE207" s="5"/>
      <c r="AF207" s="5"/>
      <c r="AG207" s="5"/>
      <c r="AH207" s="5"/>
      <c r="AI207" s="5"/>
      <c r="AJ207" s="5"/>
      <c r="AK207" s="5"/>
      <c r="AL207" s="5"/>
      <c r="AM207" s="22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>
        <f t="shared" si="6"/>
        <v>0</v>
      </c>
      <c r="BJ207" s="27" t="s">
        <v>26</v>
      </c>
      <c r="BK207" s="5"/>
    </row>
    <row r="208" spans="2:63" s="8" customFormat="1" ht="11.25" hidden="1">
      <c r="B208" s="9" t="str">
        <f>"IRATTARTÓ DOBOZ"</f>
        <v>IRATTARTÓ DOBOZ</v>
      </c>
      <c r="C208" s="9" t="str">
        <f>"5 FIÓKOS"</f>
        <v>5 FIÓKOS</v>
      </c>
      <c r="D208" s="27" t="s">
        <v>26</v>
      </c>
      <c r="E208" s="5"/>
      <c r="F208" s="5"/>
      <c r="G208" s="5"/>
      <c r="H208" s="2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11"/>
      <c r="AD208" s="5"/>
      <c r="AE208" s="5"/>
      <c r="AF208" s="5"/>
      <c r="AG208" s="5"/>
      <c r="AH208" s="5"/>
      <c r="AI208" s="5"/>
      <c r="AJ208" s="5"/>
      <c r="AK208" s="5"/>
      <c r="AL208" s="5"/>
      <c r="AM208" s="22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>
        <f t="shared" si="6"/>
        <v>0</v>
      </c>
      <c r="BJ208" s="27" t="s">
        <v>26</v>
      </c>
      <c r="BK208" s="5"/>
    </row>
    <row r="209" spans="2:63" s="8" customFormat="1" ht="11.25" hidden="1">
      <c r="B209" s="9" t="str">
        <f>"IRATTARTÓ DOBOZ"</f>
        <v>IRATTARTÓ DOBOZ</v>
      </c>
      <c r="C209" s="9" t="str">
        <f>"ESSELTE 5 FIÓKOS"</f>
        <v>ESSELTE 5 FIÓKOS</v>
      </c>
      <c r="D209" s="27" t="s">
        <v>26</v>
      </c>
      <c r="E209" s="5"/>
      <c r="F209" s="5"/>
      <c r="G209" s="5"/>
      <c r="H209" s="2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11"/>
      <c r="AD209" s="5"/>
      <c r="AE209" s="5"/>
      <c r="AF209" s="5"/>
      <c r="AG209" s="5"/>
      <c r="AH209" s="5"/>
      <c r="AI209" s="5"/>
      <c r="AJ209" s="5"/>
      <c r="AK209" s="5"/>
      <c r="AL209" s="5"/>
      <c r="AM209" s="22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>
        <f t="shared" si="6"/>
        <v>0</v>
      </c>
      <c r="BJ209" s="27" t="s">
        <v>26</v>
      </c>
      <c r="BK209" s="5"/>
    </row>
    <row r="210" spans="2:63" s="8" customFormat="1" ht="11.25" hidden="1">
      <c r="B210" s="9" t="str">
        <f>"IRATTARTÓ DOBOZ (MŰANYAG)"</f>
        <v>IRATTARTÓ DOBOZ (MŰANYAG)</v>
      </c>
      <c r="C210" s="9" t="str">
        <f>"4 FIÓKOS"</f>
        <v>4 FIÓKOS</v>
      </c>
      <c r="D210" s="27" t="s">
        <v>26</v>
      </c>
      <c r="E210" s="5"/>
      <c r="F210" s="5"/>
      <c r="G210" s="5"/>
      <c r="H210" s="2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11"/>
      <c r="AD210" s="5"/>
      <c r="AE210" s="5"/>
      <c r="AF210" s="5"/>
      <c r="AG210" s="5"/>
      <c r="AH210" s="5"/>
      <c r="AI210" s="5"/>
      <c r="AJ210" s="5"/>
      <c r="AK210" s="5"/>
      <c r="AL210" s="5"/>
      <c r="AM210" s="22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>
        <f t="shared" si="6"/>
        <v>0</v>
      </c>
      <c r="BJ210" s="27" t="s">
        <v>26</v>
      </c>
      <c r="BK210" s="5"/>
    </row>
    <row r="211" spans="2:63" s="8" customFormat="1" ht="11.25" hidden="1">
      <c r="B211" s="9" t="str">
        <f>"IRATTARTÓ DOBOZ (MŰANYAG)"</f>
        <v>IRATTARTÓ DOBOZ (MŰANYAG)</v>
      </c>
      <c r="C211" s="9" t="str">
        <f>"6 FIÓKOS"</f>
        <v>6 FIÓKOS</v>
      </c>
      <c r="D211" s="27" t="s">
        <v>26</v>
      </c>
      <c r="E211" s="5"/>
      <c r="F211" s="5"/>
      <c r="G211" s="5"/>
      <c r="H211" s="2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11"/>
      <c r="AD211" s="5"/>
      <c r="AE211" s="5"/>
      <c r="AF211" s="5"/>
      <c r="AG211" s="5"/>
      <c r="AH211" s="5"/>
      <c r="AI211" s="5"/>
      <c r="AJ211" s="5"/>
      <c r="AK211" s="5"/>
      <c r="AL211" s="5"/>
      <c r="AM211" s="22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>
        <f t="shared" si="6"/>
        <v>0</v>
      </c>
      <c r="BJ211" s="27" t="s">
        <v>26</v>
      </c>
      <c r="BK211" s="5"/>
    </row>
    <row r="212" spans="2:63" s="8" customFormat="1" ht="11.25" hidden="1">
      <c r="B212" s="9" t="str">
        <f>"IRATTARTÓ MAPPA (GUMIS)"</f>
        <v>IRATTARTÓ MAPPA (GUMIS)</v>
      </c>
      <c r="C212" s="9" t="str">
        <f aca="true" t="shared" si="7" ref="C212:C217">"A/4"</f>
        <v>A/4</v>
      </c>
      <c r="D212" s="27" t="s">
        <v>26</v>
      </c>
      <c r="E212" s="5"/>
      <c r="F212" s="5"/>
      <c r="G212" s="5"/>
      <c r="H212" s="2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11"/>
      <c r="AD212" s="5"/>
      <c r="AE212" s="5"/>
      <c r="AF212" s="5"/>
      <c r="AG212" s="5"/>
      <c r="AH212" s="5"/>
      <c r="AI212" s="5"/>
      <c r="AJ212" s="5"/>
      <c r="AK212" s="5"/>
      <c r="AL212" s="5"/>
      <c r="AM212" s="22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>
        <f t="shared" si="6"/>
        <v>0</v>
      </c>
      <c r="BJ212" s="27" t="s">
        <v>26</v>
      </c>
      <c r="BK212" s="5"/>
    </row>
    <row r="213" spans="2:63" s="8" customFormat="1" ht="11.25" hidden="1">
      <c r="B213" s="9" t="str">
        <f>"IRATTARTÓ MAPPA (GUMIS-SZÉLES)"</f>
        <v>IRATTARTÓ MAPPA (GUMIS-SZÉLES)</v>
      </c>
      <c r="C213" s="9" t="str">
        <f t="shared" si="7"/>
        <v>A/4</v>
      </c>
      <c r="D213" s="27" t="s">
        <v>26</v>
      </c>
      <c r="E213" s="5"/>
      <c r="F213" s="5"/>
      <c r="G213" s="5"/>
      <c r="H213" s="2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11"/>
      <c r="AD213" s="5"/>
      <c r="AE213" s="5"/>
      <c r="AF213" s="5"/>
      <c r="AG213" s="5"/>
      <c r="AH213" s="5"/>
      <c r="AI213" s="5"/>
      <c r="AJ213" s="5"/>
      <c r="AK213" s="5"/>
      <c r="AL213" s="5"/>
      <c r="AM213" s="22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>
        <f t="shared" si="6"/>
        <v>0</v>
      </c>
      <c r="BJ213" s="27" t="s">
        <v>26</v>
      </c>
      <c r="BK213" s="5"/>
    </row>
    <row r="214" spans="2:63" s="8" customFormat="1" ht="11.25" hidden="1">
      <c r="B214" s="9" t="str">
        <f>"IRATTARTÓ MAPPA (PATENTOS)"</f>
        <v>IRATTARTÓ MAPPA (PATENTOS)</v>
      </c>
      <c r="C214" s="9" t="str">
        <f t="shared" si="7"/>
        <v>A/4</v>
      </c>
      <c r="D214" s="27" t="s">
        <v>26</v>
      </c>
      <c r="E214" s="5"/>
      <c r="F214" s="5"/>
      <c r="G214" s="5"/>
      <c r="H214" s="2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11"/>
      <c r="AD214" s="5"/>
      <c r="AE214" s="5"/>
      <c r="AF214" s="5"/>
      <c r="AG214" s="5"/>
      <c r="AH214" s="5"/>
      <c r="AI214" s="5"/>
      <c r="AJ214" s="5"/>
      <c r="AK214" s="5"/>
      <c r="AL214" s="5"/>
      <c r="AM214" s="22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>
        <f t="shared" si="6"/>
        <v>0</v>
      </c>
      <c r="BJ214" s="27" t="s">
        <v>26</v>
      </c>
      <c r="BK214" s="5"/>
    </row>
    <row r="215" spans="2:63" s="8" customFormat="1" ht="11.25" hidden="1">
      <c r="B215" s="9" t="str">
        <f>"IRATTARTÓ MAPPA (VILLÁMZÁRAS)"</f>
        <v>IRATTARTÓ MAPPA (VILLÁMZÁRAS)</v>
      </c>
      <c r="C215" s="9" t="str">
        <f t="shared" si="7"/>
        <v>A/4</v>
      </c>
      <c r="D215" s="27" t="s">
        <v>26</v>
      </c>
      <c r="E215" s="5"/>
      <c r="F215" s="5"/>
      <c r="G215" s="5"/>
      <c r="H215" s="2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11"/>
      <c r="AD215" s="5"/>
      <c r="AE215" s="5"/>
      <c r="AF215" s="5"/>
      <c r="AG215" s="5"/>
      <c r="AH215" s="5"/>
      <c r="AI215" s="5"/>
      <c r="AJ215" s="5"/>
      <c r="AK215" s="5"/>
      <c r="AL215" s="5"/>
      <c r="AM215" s="22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>
        <f t="shared" si="6"/>
        <v>0</v>
      </c>
      <c r="BJ215" s="27" t="s">
        <v>26</v>
      </c>
      <c r="BK215" s="5"/>
    </row>
    <row r="216" spans="2:63" s="8" customFormat="1" ht="11.25" hidden="1">
      <c r="B216" s="9" t="str">
        <f>"IRATTARTÓ TASAK"</f>
        <v>IRATTARTÓ TASAK</v>
      </c>
      <c r="C216" s="9" t="str">
        <f t="shared" si="7"/>
        <v>A/4</v>
      </c>
      <c r="D216" s="27" t="s">
        <v>26</v>
      </c>
      <c r="E216" s="5"/>
      <c r="F216" s="5"/>
      <c r="G216" s="5"/>
      <c r="H216" s="2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11"/>
      <c r="AD216" s="5"/>
      <c r="AE216" s="5"/>
      <c r="AF216" s="5"/>
      <c r="AG216" s="5"/>
      <c r="AH216" s="5"/>
      <c r="AI216" s="5"/>
      <c r="AJ216" s="5"/>
      <c r="AK216" s="5"/>
      <c r="AL216" s="5"/>
      <c r="AM216" s="22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>
        <f t="shared" si="6"/>
        <v>0</v>
      </c>
      <c r="BJ216" s="27" t="s">
        <v>26</v>
      </c>
      <c r="BK216" s="5"/>
    </row>
    <row r="217" spans="2:63" s="8" customFormat="1" ht="11.25" hidden="1">
      <c r="B217" s="9" t="str">
        <f>"IRATTARTÓ TÁSKA"</f>
        <v>IRATTARTÓ TÁSKA</v>
      </c>
      <c r="C217" s="9" t="str">
        <f t="shared" si="7"/>
        <v>A/4</v>
      </c>
      <c r="D217" s="27" t="s">
        <v>26</v>
      </c>
      <c r="E217" s="5"/>
      <c r="F217" s="5"/>
      <c r="G217" s="5"/>
      <c r="H217" s="2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11"/>
      <c r="AD217" s="5"/>
      <c r="AE217" s="5"/>
      <c r="AF217" s="5"/>
      <c r="AG217" s="5"/>
      <c r="AH217" s="5"/>
      <c r="AI217" s="5"/>
      <c r="AJ217" s="5"/>
      <c r="AK217" s="5"/>
      <c r="AL217" s="5"/>
      <c r="AM217" s="22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>
        <f t="shared" si="6"/>
        <v>0</v>
      </c>
      <c r="BJ217" s="27" t="s">
        <v>26</v>
      </c>
      <c r="BK217" s="5"/>
    </row>
    <row r="218" spans="2:63" s="8" customFormat="1" ht="11.25" hidden="1">
      <c r="B218" s="9" t="str">
        <f>"ÍRÓSZERTARTÓ,FÉM"</f>
        <v>ÍRÓSZERTARTÓ,FÉM</v>
      </c>
      <c r="C218" s="9"/>
      <c r="D218" s="27" t="s">
        <v>26</v>
      </c>
      <c r="E218" s="5"/>
      <c r="F218" s="5"/>
      <c r="G218" s="5"/>
      <c r="H218" s="2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11"/>
      <c r="AD218" s="5"/>
      <c r="AE218" s="5"/>
      <c r="AF218" s="5"/>
      <c r="AG218" s="5"/>
      <c r="AH218" s="5"/>
      <c r="AI218" s="5"/>
      <c r="AJ218" s="5"/>
      <c r="AK218" s="5"/>
      <c r="AL218" s="5"/>
      <c r="AM218" s="22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>
        <f t="shared" si="6"/>
        <v>0</v>
      </c>
      <c r="BJ218" s="27" t="s">
        <v>26</v>
      </c>
      <c r="BK218" s="5"/>
    </row>
    <row r="219" spans="2:65" s="8" customFormat="1" ht="11.25" hidden="1">
      <c r="B219" s="9" t="str">
        <f>"KAPOCSKISZEDŐ BOXER"</f>
        <v>KAPOCSKISZEDŐ BOXER</v>
      </c>
      <c r="C219" s="9"/>
      <c r="D219" s="27" t="s">
        <v>26</v>
      </c>
      <c r="E219" s="5"/>
      <c r="F219" s="5"/>
      <c r="G219" s="5"/>
      <c r="H219" s="2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11"/>
      <c r="AD219" s="5"/>
      <c r="AE219" s="5"/>
      <c r="AF219" s="5"/>
      <c r="AG219" s="5"/>
      <c r="AH219" s="5"/>
      <c r="AI219" s="5"/>
      <c r="AJ219" s="5"/>
      <c r="AK219" s="5"/>
      <c r="AL219" s="5"/>
      <c r="AM219" s="22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>
        <f t="shared" si="6"/>
        <v>0</v>
      </c>
      <c r="BJ219" s="27" t="s">
        <v>26</v>
      </c>
      <c r="BK219" s="5"/>
      <c r="BM219" s="9"/>
    </row>
    <row r="220" spans="2:63" s="9" customFormat="1" ht="11.25" hidden="1">
      <c r="B220" s="9" t="str">
        <f>"KÉSZPÉNZÁTUTALÁSI MEGBÍZÁS"</f>
        <v>KÉSZPÉNZÁTUTALÁSI MEGBÍZÁS</v>
      </c>
      <c r="D220" s="27" t="s">
        <v>26</v>
      </c>
      <c r="E220" s="4"/>
      <c r="F220" s="4"/>
      <c r="G220" s="4"/>
      <c r="H220" s="22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10"/>
      <c r="AD220" s="4"/>
      <c r="AE220" s="4"/>
      <c r="AF220" s="4"/>
      <c r="AG220" s="4"/>
      <c r="AH220" s="4"/>
      <c r="AI220" s="4"/>
      <c r="AJ220" s="4"/>
      <c r="AK220" s="4"/>
      <c r="AL220" s="4"/>
      <c r="AM220" s="22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5">
        <f t="shared" si="6"/>
        <v>0</v>
      </c>
      <c r="BJ220" s="27" t="s">
        <v>26</v>
      </c>
      <c r="BK220" s="4"/>
    </row>
    <row r="221" spans="2:63" s="9" customFormat="1" ht="11.25" hidden="1">
      <c r="B221" s="9" t="str">
        <f>"KÉSZPÉNZFIZETÉSI SZÁMLA"</f>
        <v>KÉSZPÉNZFIZETÉSI SZÁMLA</v>
      </c>
      <c r="C221" s="9" t="str">
        <f>"50X3 A/5 ÁLLÓ HELYZETŰ"</f>
        <v>50X3 A/5 ÁLLÓ HELYZETŰ</v>
      </c>
      <c r="D221" s="27" t="s">
        <v>26</v>
      </c>
      <c r="E221" s="4"/>
      <c r="F221" s="4"/>
      <c r="G221" s="4"/>
      <c r="H221" s="22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10"/>
      <c r="AD221" s="4"/>
      <c r="AE221" s="4"/>
      <c r="AF221" s="4"/>
      <c r="AG221" s="4"/>
      <c r="AH221" s="4"/>
      <c r="AI221" s="4"/>
      <c r="AJ221" s="4"/>
      <c r="AK221" s="4"/>
      <c r="AL221" s="4"/>
      <c r="AM221" s="22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5">
        <f t="shared" si="6"/>
        <v>0</v>
      </c>
      <c r="BJ221" s="27" t="s">
        <v>26</v>
      </c>
      <c r="BK221" s="4"/>
    </row>
    <row r="222" spans="2:63" s="9" customFormat="1" ht="11.25" hidden="1">
      <c r="B222" s="9" t="str">
        <f>"KÉSZPÉNZFIZETÉSI SZÁMLA"</f>
        <v>KÉSZPÉNZFIZETÉSI SZÁMLA</v>
      </c>
      <c r="C222" s="9" t="str">
        <f>"50X3 A/5 FEKVŐ HELYZETŰ"</f>
        <v>50X3 A/5 FEKVŐ HELYZETŰ</v>
      </c>
      <c r="D222" s="27" t="s">
        <v>26</v>
      </c>
      <c r="E222" s="4"/>
      <c r="F222" s="4"/>
      <c r="G222" s="4"/>
      <c r="H222" s="22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10"/>
      <c r="AD222" s="4"/>
      <c r="AE222" s="4"/>
      <c r="AF222" s="4"/>
      <c r="AG222" s="4"/>
      <c r="AH222" s="4"/>
      <c r="AI222" s="4"/>
      <c r="AJ222" s="4"/>
      <c r="AK222" s="4"/>
      <c r="AL222" s="4"/>
      <c r="AM222" s="22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5">
        <f t="shared" si="6"/>
        <v>0</v>
      </c>
      <c r="BJ222" s="27" t="s">
        <v>26</v>
      </c>
      <c r="BK222" s="4"/>
    </row>
    <row r="223" spans="2:63" s="9" customFormat="1" ht="11.25" hidden="1">
      <c r="B223" s="9" t="str">
        <f>"KÉSZPÉNZFIZETÉSI SZÁMLA (50X3 LAPOS)"</f>
        <v>KÉSZPÉNZFIZETÉSI SZÁMLA (50X3 LAPOS)</v>
      </c>
      <c r="C223" s="9" t="str">
        <f>"B.13-373"</f>
        <v>B.13-373</v>
      </c>
      <c r="D223" s="27" t="s">
        <v>26</v>
      </c>
      <c r="E223" s="4"/>
      <c r="F223" s="4"/>
      <c r="G223" s="4"/>
      <c r="H223" s="22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10"/>
      <c r="AD223" s="4"/>
      <c r="AE223" s="4"/>
      <c r="AF223" s="4"/>
      <c r="AG223" s="4"/>
      <c r="AH223" s="4"/>
      <c r="AI223" s="4"/>
      <c r="AJ223" s="4"/>
      <c r="AK223" s="4"/>
      <c r="AL223" s="4"/>
      <c r="AM223" s="22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5">
        <f t="shared" si="6"/>
        <v>0</v>
      </c>
      <c r="BJ223" s="27" t="s">
        <v>26</v>
      </c>
      <c r="BK223" s="4"/>
    </row>
    <row r="224" spans="2:65" s="9" customFormat="1" ht="11.25" hidden="1">
      <c r="B224" s="9" t="str">
        <f>"KÉSZPÉNZIGÉNYLÉS ELSZÁMOLÁS"</f>
        <v>KÉSZPÉNZIGÉNYLÉS ELSZÁMOLÁS</v>
      </c>
      <c r="D224" s="27" t="s">
        <v>26</v>
      </c>
      <c r="E224" s="4"/>
      <c r="F224" s="4"/>
      <c r="G224" s="4"/>
      <c r="H224" s="22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10"/>
      <c r="AD224" s="4"/>
      <c r="AE224" s="4"/>
      <c r="AF224" s="4"/>
      <c r="AG224" s="4"/>
      <c r="AH224" s="4"/>
      <c r="AI224" s="4"/>
      <c r="AJ224" s="4"/>
      <c r="AK224" s="4"/>
      <c r="AL224" s="4"/>
      <c r="AM224" s="22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5">
        <f t="shared" si="6"/>
        <v>0</v>
      </c>
      <c r="BJ224" s="27" t="s">
        <v>26</v>
      </c>
      <c r="BK224" s="4"/>
      <c r="BM224" s="8"/>
    </row>
    <row r="225" spans="2:63" s="8" customFormat="1" ht="11.25" hidden="1">
      <c r="B225" s="9" t="str">
        <f>"KÉZVIZEZŐ SZIVACS"</f>
        <v>KÉZVIZEZŐ SZIVACS</v>
      </c>
      <c r="C225" s="9"/>
      <c r="D225" s="27" t="s">
        <v>26</v>
      </c>
      <c r="E225" s="5"/>
      <c r="F225" s="5"/>
      <c r="G225" s="5"/>
      <c r="H225" s="2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11"/>
      <c r="AD225" s="5"/>
      <c r="AE225" s="5"/>
      <c r="AF225" s="5"/>
      <c r="AG225" s="5"/>
      <c r="AH225" s="5"/>
      <c r="AI225" s="5"/>
      <c r="AJ225" s="5"/>
      <c r="AK225" s="5"/>
      <c r="AL225" s="5"/>
      <c r="AM225" s="22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>
        <f t="shared" si="6"/>
        <v>0</v>
      </c>
      <c r="BJ225" s="27" t="s">
        <v>26</v>
      </c>
      <c r="BK225" s="5"/>
    </row>
    <row r="226" spans="2:65" s="8" customFormat="1" ht="11.25" hidden="1">
      <c r="B226" s="9" t="str">
        <f>"KIADÁSI PÉNZTÁRBIZONYLAT"</f>
        <v>KIADÁSI PÉNZTÁRBIZONYLAT</v>
      </c>
      <c r="C226" s="9"/>
      <c r="D226" s="27" t="s">
        <v>26</v>
      </c>
      <c r="E226" s="5"/>
      <c r="F226" s="5"/>
      <c r="G226" s="5"/>
      <c r="H226" s="2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11"/>
      <c r="AD226" s="5"/>
      <c r="AE226" s="5"/>
      <c r="AF226" s="5"/>
      <c r="AG226" s="5"/>
      <c r="AH226" s="5"/>
      <c r="AI226" s="5"/>
      <c r="AJ226" s="5"/>
      <c r="AK226" s="5"/>
      <c r="AL226" s="5"/>
      <c r="AM226" s="22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>
        <f t="shared" si="6"/>
        <v>0</v>
      </c>
      <c r="BJ226" s="27" t="s">
        <v>26</v>
      </c>
      <c r="BK226" s="5"/>
      <c r="BM226" s="9"/>
    </row>
    <row r="227" spans="2:63" s="9" customFormat="1" ht="11.25" hidden="1">
      <c r="B227" s="9" t="str">
        <f>"KIKÜLDETÉSI RENDELVÉNY (PÁTRIA)"</f>
        <v>KIKÜLDETÉSI RENDELVÉNY (PÁTRIA)</v>
      </c>
      <c r="C227" s="9" t="str">
        <f>"B.18-73/ÚJ"</f>
        <v>B.18-73/ÚJ</v>
      </c>
      <c r="D227" s="27" t="s">
        <v>26</v>
      </c>
      <c r="E227" s="4"/>
      <c r="F227" s="4"/>
      <c r="G227" s="4"/>
      <c r="H227" s="22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10"/>
      <c r="AD227" s="4"/>
      <c r="AE227" s="4"/>
      <c r="AF227" s="4"/>
      <c r="AG227" s="4"/>
      <c r="AH227" s="4"/>
      <c r="AI227" s="4"/>
      <c r="AJ227" s="4"/>
      <c r="AK227" s="4"/>
      <c r="AL227" s="4"/>
      <c r="AM227" s="22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5">
        <f t="shared" si="6"/>
        <v>0</v>
      </c>
      <c r="BJ227" s="27" t="s">
        <v>26</v>
      </c>
      <c r="BK227" s="4"/>
    </row>
    <row r="228" spans="2:65" s="9" customFormat="1" ht="11.25" hidden="1">
      <c r="B228" s="9" t="str">
        <f>"KISÉRŐJEGY (SZ) VESZÉLYES HULLADÉK"</f>
        <v>KISÉRŐJEGY (SZ) VESZÉLYES HULLADÉK</v>
      </c>
      <c r="C228" s="9" t="str">
        <f>"DE. 501"</f>
        <v>DE. 501</v>
      </c>
      <c r="D228" s="27" t="s">
        <v>26</v>
      </c>
      <c r="E228" s="4"/>
      <c r="F228" s="4"/>
      <c r="G228" s="4"/>
      <c r="H228" s="22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10"/>
      <c r="AD228" s="4"/>
      <c r="AE228" s="4"/>
      <c r="AF228" s="4"/>
      <c r="AG228" s="4"/>
      <c r="AH228" s="4"/>
      <c r="AI228" s="4"/>
      <c r="AJ228" s="4"/>
      <c r="AK228" s="4"/>
      <c r="AL228" s="4"/>
      <c r="AM228" s="22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5">
        <f t="shared" si="6"/>
        <v>0</v>
      </c>
      <c r="BJ228" s="27" t="s">
        <v>26</v>
      </c>
      <c r="BK228" s="4"/>
      <c r="BM228" s="8"/>
    </row>
    <row r="229" spans="2:63" s="8" customFormat="1" ht="11.25" hidden="1">
      <c r="B229" s="9" t="str">
        <f>"KÖNYÖKLÖ (ASZTALI)"</f>
        <v>KÖNYÖKLÖ (ASZTALI)</v>
      </c>
      <c r="C229" s="9" t="str">
        <f>"A/2"</f>
        <v>A/2</v>
      </c>
      <c r="D229" s="27" t="s">
        <v>26</v>
      </c>
      <c r="E229" s="5"/>
      <c r="F229" s="5"/>
      <c r="G229" s="5"/>
      <c r="H229" s="2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11"/>
      <c r="AD229" s="5"/>
      <c r="AE229" s="5"/>
      <c r="AF229" s="5"/>
      <c r="AG229" s="5"/>
      <c r="AH229" s="5"/>
      <c r="AI229" s="5"/>
      <c r="AJ229" s="5"/>
      <c r="AK229" s="5"/>
      <c r="AL229" s="5"/>
      <c r="AM229" s="22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>
        <f t="shared" si="6"/>
        <v>0</v>
      </c>
      <c r="BJ229" s="27" t="s">
        <v>26</v>
      </c>
      <c r="BK229" s="5"/>
    </row>
    <row r="230" spans="2:65" s="8" customFormat="1" ht="11.25" hidden="1">
      <c r="B230" s="9" t="str">
        <f>"KÖRSABLON"</f>
        <v>KÖRSABLON</v>
      </c>
      <c r="C230" s="9" t="str">
        <f>"4-40 MM"</f>
        <v>4-40 MM</v>
      </c>
      <c r="D230" s="27" t="s">
        <v>26</v>
      </c>
      <c r="E230" s="5"/>
      <c r="F230" s="5"/>
      <c r="G230" s="5"/>
      <c r="H230" s="2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11"/>
      <c r="AD230" s="5"/>
      <c r="AE230" s="5"/>
      <c r="AF230" s="5"/>
      <c r="AG230" s="5"/>
      <c r="AH230" s="5"/>
      <c r="AI230" s="5"/>
      <c r="AJ230" s="5"/>
      <c r="AK230" s="5"/>
      <c r="AL230" s="5"/>
      <c r="AM230" s="22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>
        <f t="shared" si="6"/>
        <v>0</v>
      </c>
      <c r="BJ230" s="27" t="s">
        <v>26</v>
      </c>
      <c r="BK230" s="5"/>
      <c r="BM230" s="9"/>
    </row>
    <row r="231" spans="2:65" s="9" customFormat="1" ht="11.25" hidden="1">
      <c r="B231" s="9" t="str">
        <f>"LAMINÁLÓ FÓLIA"</f>
        <v>LAMINÁLÓ FÓLIA</v>
      </c>
      <c r="C231" s="9" t="str">
        <f>"A/4"</f>
        <v>A/4</v>
      </c>
      <c r="D231" s="27" t="s">
        <v>26</v>
      </c>
      <c r="E231" s="4"/>
      <c r="F231" s="4"/>
      <c r="G231" s="4"/>
      <c r="H231" s="22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10"/>
      <c r="AD231" s="4"/>
      <c r="AE231" s="4"/>
      <c r="AF231" s="4"/>
      <c r="AG231" s="4"/>
      <c r="AH231" s="4"/>
      <c r="AI231" s="4"/>
      <c r="AJ231" s="4"/>
      <c r="AK231" s="4"/>
      <c r="AL231" s="4"/>
      <c r="AM231" s="22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5">
        <f t="shared" si="6"/>
        <v>0</v>
      </c>
      <c r="BJ231" s="27" t="s">
        <v>26</v>
      </c>
      <c r="BK231" s="4"/>
      <c r="BM231" s="8"/>
    </row>
    <row r="232" spans="2:63" s="8" customFormat="1" ht="11.25" hidden="1">
      <c r="B232" s="9" t="str">
        <f>"LAMINÁLÓ FÓLIA FEDÉL"</f>
        <v>LAMINÁLÓ FÓLIA FEDÉL</v>
      </c>
      <c r="C232" s="9" t="str">
        <f>"A/4"</f>
        <v>A/4</v>
      </c>
      <c r="D232" s="27" t="s">
        <v>26</v>
      </c>
      <c r="E232" s="5"/>
      <c r="F232" s="5"/>
      <c r="G232" s="5"/>
      <c r="H232" s="2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11"/>
      <c r="AD232" s="5"/>
      <c r="AE232" s="5"/>
      <c r="AF232" s="5"/>
      <c r="AG232" s="5"/>
      <c r="AH232" s="5"/>
      <c r="AI232" s="5"/>
      <c r="AJ232" s="5"/>
      <c r="AK232" s="5"/>
      <c r="AL232" s="5"/>
      <c r="AM232" s="22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>
        <f t="shared" si="6"/>
        <v>0</v>
      </c>
      <c r="BJ232" s="27" t="s">
        <v>26</v>
      </c>
      <c r="BK232" s="5"/>
    </row>
    <row r="233" spans="2:63" s="8" customFormat="1" ht="11.25" hidden="1">
      <c r="B233" s="9" t="str">
        <f>"LAPSZÉLJELÖLŐ"</f>
        <v>LAPSZÉLJELÖLŐ</v>
      </c>
      <c r="C233" s="9" t="str">
        <f>"OOPS (NEON)"</f>
        <v>OOPS (NEON)</v>
      </c>
      <c r="D233" s="27" t="s">
        <v>26</v>
      </c>
      <c r="E233" s="5"/>
      <c r="F233" s="5"/>
      <c r="G233" s="5"/>
      <c r="H233" s="2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11"/>
      <c r="AD233" s="5"/>
      <c r="AE233" s="5"/>
      <c r="AF233" s="5"/>
      <c r="AG233" s="5"/>
      <c r="AH233" s="5"/>
      <c r="AI233" s="5"/>
      <c r="AJ233" s="5"/>
      <c r="AK233" s="5"/>
      <c r="AL233" s="5"/>
      <c r="AM233" s="22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>
        <f t="shared" si="6"/>
        <v>0</v>
      </c>
      <c r="BJ233" s="27" t="s">
        <v>26</v>
      </c>
      <c r="BK233" s="5"/>
    </row>
    <row r="234" spans="1:63" s="8" customFormat="1" ht="11.25">
      <c r="A234" s="8" t="s">
        <v>254</v>
      </c>
      <c r="B234" s="9" t="str">
        <f>"IRATPAPUCS (PVC) KÉK SZÍNŰ"</f>
        <v>IRATPAPUCS (PVC) KÉK SZÍNŰ</v>
      </c>
      <c r="C234" s="9"/>
      <c r="D234" s="27" t="s">
        <v>26</v>
      </c>
      <c r="E234" s="5"/>
      <c r="F234" s="5"/>
      <c r="G234" s="5"/>
      <c r="H234" s="2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11"/>
      <c r="AD234" s="5"/>
      <c r="AE234" s="5"/>
      <c r="AF234" s="5"/>
      <c r="AG234" s="5"/>
      <c r="AH234" s="5"/>
      <c r="AI234" s="5"/>
      <c r="AJ234" s="5"/>
      <c r="AK234" s="5"/>
      <c r="AL234" s="5"/>
      <c r="AM234" s="22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>
        <v>1</v>
      </c>
      <c r="BF234" s="5"/>
      <c r="BG234" s="5"/>
      <c r="BH234" s="5"/>
      <c r="BI234" s="5">
        <f t="shared" si="6"/>
        <v>1</v>
      </c>
      <c r="BJ234" s="27" t="s">
        <v>26</v>
      </c>
      <c r="BK234" s="5"/>
    </row>
    <row r="235" spans="2:65" s="8" customFormat="1" ht="11.25" hidden="1">
      <c r="B235" s="9" t="str">
        <f>"LEFŰZHETŐS TASAK"</f>
        <v>LEFŰZHETŐS TASAK</v>
      </c>
      <c r="C235" s="9"/>
      <c r="D235" s="27" t="s">
        <v>26</v>
      </c>
      <c r="E235" s="5"/>
      <c r="F235" s="5"/>
      <c r="G235" s="5"/>
      <c r="H235" s="2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11"/>
      <c r="AD235" s="5"/>
      <c r="AE235" s="5"/>
      <c r="AF235" s="5"/>
      <c r="AG235" s="5"/>
      <c r="AH235" s="5"/>
      <c r="AI235" s="5"/>
      <c r="AJ235" s="5"/>
      <c r="AK235" s="5"/>
      <c r="AL235" s="5"/>
      <c r="AM235" s="22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>
        <f t="shared" si="6"/>
        <v>0</v>
      </c>
      <c r="BJ235" s="27" t="s">
        <v>26</v>
      </c>
      <c r="BK235" s="5"/>
      <c r="BM235" s="9"/>
    </row>
    <row r="236" spans="2:63" s="9" customFormat="1" ht="11.25" hidden="1">
      <c r="B236" s="9" t="str">
        <f>"LEPORELLÓ (1 PLD-OS)"</f>
        <v>LEPORELLÓ (1 PLD-OS)</v>
      </c>
      <c r="C236" s="9" t="s">
        <v>0</v>
      </c>
      <c r="D236" s="27" t="s">
        <v>26</v>
      </c>
      <c r="E236" s="4"/>
      <c r="F236" s="4"/>
      <c r="G236" s="4"/>
      <c r="H236" s="22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10"/>
      <c r="AD236" s="4"/>
      <c r="AE236" s="4"/>
      <c r="AF236" s="4"/>
      <c r="AG236" s="4"/>
      <c r="AH236" s="4"/>
      <c r="AI236" s="4"/>
      <c r="AJ236" s="4"/>
      <c r="AK236" s="4"/>
      <c r="AL236" s="4"/>
      <c r="AM236" s="22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5">
        <f t="shared" si="6"/>
        <v>0</v>
      </c>
      <c r="BJ236" s="27" t="s">
        <v>26</v>
      </c>
      <c r="BK236" s="4"/>
    </row>
    <row r="237" spans="2:63" s="9" customFormat="1" ht="11.25" hidden="1">
      <c r="B237" s="9" t="str">
        <f>"LEPORELLÓ (2 PLD-OS)"</f>
        <v>LEPORELLÓ (2 PLD-OS)</v>
      </c>
      <c r="C237" s="9" t="s">
        <v>0</v>
      </c>
      <c r="D237" s="27" t="s">
        <v>26</v>
      </c>
      <c r="E237" s="4"/>
      <c r="F237" s="4"/>
      <c r="G237" s="4"/>
      <c r="H237" s="22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10"/>
      <c r="AD237" s="4"/>
      <c r="AE237" s="4"/>
      <c r="AF237" s="4"/>
      <c r="AG237" s="4"/>
      <c r="AH237" s="4"/>
      <c r="AI237" s="4"/>
      <c r="AJ237" s="4"/>
      <c r="AK237" s="4"/>
      <c r="AL237" s="4"/>
      <c r="AM237" s="22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5">
        <f t="shared" si="6"/>
        <v>0</v>
      </c>
      <c r="BJ237" s="27" t="s">
        <v>26</v>
      </c>
      <c r="BK237" s="4"/>
    </row>
    <row r="238" spans="2:65" s="9" customFormat="1" ht="11.25" hidden="1">
      <c r="B238" s="9" t="str">
        <f>"LEPORELLO (SZÉLES) MÜLLER"</f>
        <v>LEPORELLO (SZÉLES) MÜLLER</v>
      </c>
      <c r="C238" s="9" t="str">
        <f>"382/1"</f>
        <v>382/1</v>
      </c>
      <c r="D238" s="27" t="s">
        <v>26</v>
      </c>
      <c r="E238" s="4"/>
      <c r="F238" s="4"/>
      <c r="G238" s="4"/>
      <c r="H238" s="2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10"/>
      <c r="AD238" s="4"/>
      <c r="AE238" s="4"/>
      <c r="AF238" s="4"/>
      <c r="AG238" s="4"/>
      <c r="AH238" s="4"/>
      <c r="AI238" s="4"/>
      <c r="AJ238" s="4"/>
      <c r="AK238" s="4"/>
      <c r="AL238" s="4"/>
      <c r="AM238" s="22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5">
        <f t="shared" si="6"/>
        <v>0</v>
      </c>
      <c r="BJ238" s="27" t="s">
        <v>26</v>
      </c>
      <c r="BK238" s="4"/>
      <c r="BM238" s="8"/>
    </row>
    <row r="239" spans="2:65" s="8" customFormat="1" ht="11.25" hidden="1">
      <c r="B239" s="9" t="str">
        <f>"LÉPTÉKES VONALZÓ"</f>
        <v>LÉPTÉKES VONALZÓ</v>
      </c>
      <c r="C239" s="9" t="str">
        <f>"601"</f>
        <v>601</v>
      </c>
      <c r="D239" s="27" t="s">
        <v>26</v>
      </c>
      <c r="E239" s="5"/>
      <c r="F239" s="5"/>
      <c r="G239" s="5"/>
      <c r="H239" s="2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11"/>
      <c r="AD239" s="5"/>
      <c r="AE239" s="5"/>
      <c r="AF239" s="5"/>
      <c r="AG239" s="5"/>
      <c r="AH239" s="5"/>
      <c r="AI239" s="5"/>
      <c r="AJ239" s="5"/>
      <c r="AK239" s="5"/>
      <c r="AL239" s="5"/>
      <c r="AM239" s="22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>
        <f t="shared" si="6"/>
        <v>0</v>
      </c>
      <c r="BJ239" s="27" t="s">
        <v>26</v>
      </c>
      <c r="BK239" s="5"/>
      <c r="BM239" s="9"/>
    </row>
    <row r="240" spans="2:65" s="9" customFormat="1" ht="11.25" hidden="1">
      <c r="B240" s="9" t="str">
        <f>"LEVÉLBONTÓ KÉS"</f>
        <v>LEVÉLBONTÓ KÉS</v>
      </c>
      <c r="D240" s="27" t="s">
        <v>26</v>
      </c>
      <c r="E240" s="4"/>
      <c r="F240" s="4"/>
      <c r="G240" s="4"/>
      <c r="H240" s="22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10"/>
      <c r="AD240" s="4"/>
      <c r="AE240" s="4"/>
      <c r="AF240" s="4"/>
      <c r="AG240" s="4"/>
      <c r="AH240" s="4"/>
      <c r="AI240" s="4"/>
      <c r="AJ240" s="4"/>
      <c r="AK240" s="4"/>
      <c r="AL240" s="4"/>
      <c r="AM240" s="22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5">
        <f t="shared" si="6"/>
        <v>0</v>
      </c>
      <c r="BJ240" s="27" t="s">
        <v>26</v>
      </c>
      <c r="BK240" s="4"/>
      <c r="BM240" s="8"/>
    </row>
    <row r="241" spans="2:63" s="8" customFormat="1" ht="11.25" hidden="1">
      <c r="B241" s="9" t="str">
        <f>"LYUKASZTÓGÉP"</f>
        <v>LYUKASZTÓGÉP</v>
      </c>
      <c r="C241" s="9" t="str">
        <f>"EAGLE 837 L"</f>
        <v>EAGLE 837 L</v>
      </c>
      <c r="D241" s="27" t="s">
        <v>26</v>
      </c>
      <c r="E241" s="5"/>
      <c r="F241" s="5"/>
      <c r="G241" s="5"/>
      <c r="H241" s="2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11"/>
      <c r="AD241" s="5"/>
      <c r="AE241" s="5"/>
      <c r="AF241" s="5"/>
      <c r="AG241" s="5"/>
      <c r="AH241" s="5"/>
      <c r="AI241" s="5"/>
      <c r="AJ241" s="5"/>
      <c r="AK241" s="5"/>
      <c r="AL241" s="5"/>
      <c r="AM241" s="22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>
        <f t="shared" si="6"/>
        <v>0</v>
      </c>
      <c r="BJ241" s="27" t="s">
        <v>26</v>
      </c>
      <c r="BK241" s="5"/>
    </row>
    <row r="242" spans="2:63" s="8" customFormat="1" ht="11.25" hidden="1">
      <c r="B242" s="9" t="str">
        <f>"LYUKASZTÓGÉP"</f>
        <v>LYUKASZTÓGÉP</v>
      </c>
      <c r="C242" s="9" t="str">
        <f>"RAPESCO 820-P"</f>
        <v>RAPESCO 820-P</v>
      </c>
      <c r="D242" s="27" t="s">
        <v>26</v>
      </c>
      <c r="E242" s="5"/>
      <c r="F242" s="5"/>
      <c r="G242" s="5"/>
      <c r="H242" s="2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11"/>
      <c r="AD242" s="5"/>
      <c r="AE242" s="5"/>
      <c r="AF242" s="5"/>
      <c r="AG242" s="5"/>
      <c r="AH242" s="5"/>
      <c r="AI242" s="5"/>
      <c r="AJ242" s="5"/>
      <c r="AK242" s="5"/>
      <c r="AL242" s="5"/>
      <c r="AM242" s="22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>
        <f t="shared" si="6"/>
        <v>0</v>
      </c>
      <c r="BJ242" s="27" t="s">
        <v>26</v>
      </c>
      <c r="BK242" s="5"/>
    </row>
    <row r="243" spans="2:63" s="8" customFormat="1" ht="11.25" hidden="1">
      <c r="B243" s="9" t="str">
        <f>"LYUKASZTÓGÉP"</f>
        <v>LYUKASZTÓGÉP</v>
      </c>
      <c r="C243" s="9" t="str">
        <f>"SAX 318"</f>
        <v>SAX 318</v>
      </c>
      <c r="D243" s="27" t="s">
        <v>26</v>
      </c>
      <c r="E243" s="5"/>
      <c r="F243" s="5"/>
      <c r="G243" s="5"/>
      <c r="H243" s="2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11"/>
      <c r="AD243" s="5"/>
      <c r="AE243" s="5"/>
      <c r="AF243" s="5"/>
      <c r="AG243" s="5"/>
      <c r="AH243" s="5"/>
      <c r="AI243" s="5"/>
      <c r="AJ243" s="5"/>
      <c r="AK243" s="5"/>
      <c r="AL243" s="5"/>
      <c r="AM243" s="22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>
        <f t="shared" si="6"/>
        <v>0</v>
      </c>
      <c r="BJ243" s="27" t="s">
        <v>26</v>
      </c>
      <c r="BK243" s="5"/>
    </row>
    <row r="244" spans="2:63" s="8" customFormat="1" ht="11.25" hidden="1">
      <c r="B244" s="9" t="str">
        <f>"MAGIC CLIP ADAGOLÓ"</f>
        <v>MAGIC CLIP ADAGOLÓ</v>
      </c>
      <c r="C244" s="9"/>
      <c r="D244" s="27" t="s">
        <v>26</v>
      </c>
      <c r="E244" s="5"/>
      <c r="F244" s="5"/>
      <c r="G244" s="5"/>
      <c r="H244" s="2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11"/>
      <c r="AD244" s="5"/>
      <c r="AE244" s="5"/>
      <c r="AF244" s="5"/>
      <c r="AG244" s="5"/>
      <c r="AH244" s="5"/>
      <c r="AI244" s="5"/>
      <c r="AJ244" s="5"/>
      <c r="AK244" s="5"/>
      <c r="AL244" s="5"/>
      <c r="AM244" s="22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>
        <f t="shared" si="6"/>
        <v>0</v>
      </c>
      <c r="BJ244" s="27" t="s">
        <v>26</v>
      </c>
      <c r="BK244" s="5"/>
    </row>
    <row r="245" spans="1:63" s="8" customFormat="1" ht="11.25">
      <c r="A245" s="8" t="s">
        <v>255</v>
      </c>
      <c r="B245" s="9" t="s">
        <v>50</v>
      </c>
      <c r="C245" s="9" t="s">
        <v>159</v>
      </c>
      <c r="D245" s="27" t="s">
        <v>26</v>
      </c>
      <c r="E245" s="5"/>
      <c r="F245" s="5"/>
      <c r="G245" s="5"/>
      <c r="H245" s="2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>
        <v>5</v>
      </c>
      <c r="U245" s="5"/>
      <c r="V245" s="5"/>
      <c r="W245" s="5"/>
      <c r="X245" s="5"/>
      <c r="Y245" s="5"/>
      <c r="Z245" s="5"/>
      <c r="AA245" s="5"/>
      <c r="AB245" s="5"/>
      <c r="AC245" s="11"/>
      <c r="AD245" s="5"/>
      <c r="AE245" s="5"/>
      <c r="AF245" s="5"/>
      <c r="AG245" s="5"/>
      <c r="AH245" s="5"/>
      <c r="AI245" s="5"/>
      <c r="AJ245" s="5"/>
      <c r="AK245" s="5"/>
      <c r="AL245" s="5"/>
      <c r="AM245" s="22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>
        <f t="shared" si="6"/>
        <v>5</v>
      </c>
      <c r="BJ245" s="27" t="s">
        <v>26</v>
      </c>
      <c r="BK245" s="5"/>
    </row>
    <row r="246" spans="1:63" s="8" customFormat="1" ht="11.25">
      <c r="A246" s="8" t="s">
        <v>256</v>
      </c>
      <c r="B246" s="9" t="s">
        <v>50</v>
      </c>
      <c r="C246" s="9" t="s">
        <v>94</v>
      </c>
      <c r="D246" s="27" t="s">
        <v>26</v>
      </c>
      <c r="E246" s="5"/>
      <c r="F246" s="5">
        <v>5</v>
      </c>
      <c r="G246" s="5"/>
      <c r="H246" s="22"/>
      <c r="I246" s="5"/>
      <c r="J246" s="5"/>
      <c r="K246" s="5"/>
      <c r="L246" s="5"/>
      <c r="M246" s="5"/>
      <c r="N246" s="5"/>
      <c r="O246" s="5"/>
      <c r="P246" s="5"/>
      <c r="Q246" s="5"/>
      <c r="R246" s="5">
        <v>5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11"/>
      <c r="AD246" s="5"/>
      <c r="AE246" s="5"/>
      <c r="AF246" s="5"/>
      <c r="AG246" s="5"/>
      <c r="AH246" s="5"/>
      <c r="AI246" s="5"/>
      <c r="AJ246" s="5"/>
      <c r="AK246" s="5"/>
      <c r="AL246" s="5"/>
      <c r="AM246" s="22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>
        <f t="shared" si="6"/>
        <v>10</v>
      </c>
      <c r="BJ246" s="27" t="s">
        <v>26</v>
      </c>
      <c r="BK246" s="5"/>
    </row>
    <row r="247" spans="1:63" s="8" customFormat="1" ht="11.25">
      <c r="A247" s="8" t="s">
        <v>257</v>
      </c>
      <c r="B247" s="9" t="s">
        <v>50</v>
      </c>
      <c r="C247" s="9" t="s">
        <v>74</v>
      </c>
      <c r="D247" s="27" t="s">
        <v>26</v>
      </c>
      <c r="E247" s="5"/>
      <c r="F247" s="5"/>
      <c r="G247" s="5"/>
      <c r="H247" s="2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11"/>
      <c r="AD247" s="5"/>
      <c r="AE247" s="5"/>
      <c r="AF247" s="5"/>
      <c r="AG247" s="5"/>
      <c r="AH247" s="5"/>
      <c r="AI247" s="5"/>
      <c r="AJ247" s="5"/>
      <c r="AK247" s="5"/>
      <c r="AL247" s="5"/>
      <c r="AM247" s="22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>
        <v>5</v>
      </c>
      <c r="BF247" s="5"/>
      <c r="BG247" s="5"/>
      <c r="BH247" s="5"/>
      <c r="BI247" s="5">
        <f t="shared" si="6"/>
        <v>5</v>
      </c>
      <c r="BJ247" s="27" t="s">
        <v>26</v>
      </c>
      <c r="BK247" s="5"/>
    </row>
    <row r="248" spans="2:63" s="9" customFormat="1" ht="11.25" hidden="1">
      <c r="B248" s="9" t="str">
        <f>"MUNKABALESETI JEGYZŐKÖNYV"</f>
        <v>MUNKABALESETI JEGYZŐKÖNYV</v>
      </c>
      <c r="C248" s="9" t="str">
        <f>"346/A"</f>
        <v>346/A</v>
      </c>
      <c r="D248" s="22"/>
      <c r="E248" s="4"/>
      <c r="F248" s="4"/>
      <c r="G248" s="4"/>
      <c r="H248" s="22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10"/>
      <c r="AD248" s="4"/>
      <c r="AE248" s="4"/>
      <c r="AF248" s="4"/>
      <c r="AG248" s="4"/>
      <c r="AH248" s="4"/>
      <c r="AI248" s="4"/>
      <c r="AJ248" s="4"/>
      <c r="AK248" s="4"/>
      <c r="AL248" s="4"/>
      <c r="AM248" s="22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5">
        <f t="shared" si="6"/>
        <v>0</v>
      </c>
      <c r="BJ248" s="22"/>
      <c r="BK248" s="4"/>
    </row>
    <row r="249" spans="2:63" s="9" customFormat="1" ht="11.25" hidden="1">
      <c r="B249" s="9" t="str">
        <f>"MUNKAHELYI ITTASSÁGI JEGYZŐKÖNYV"</f>
        <v>MUNKAHELYI ITTASSÁGI JEGYZŐKÖNYV</v>
      </c>
      <c r="D249" s="22"/>
      <c r="E249" s="4"/>
      <c r="F249" s="4"/>
      <c r="G249" s="4"/>
      <c r="H249" s="22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10"/>
      <c r="AD249" s="4"/>
      <c r="AE249" s="4"/>
      <c r="AF249" s="4"/>
      <c r="AG249" s="4"/>
      <c r="AH249" s="4"/>
      <c r="AI249" s="4"/>
      <c r="AJ249" s="4"/>
      <c r="AK249" s="4"/>
      <c r="AL249" s="4"/>
      <c r="AM249" s="22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5">
        <f t="shared" si="6"/>
        <v>0</v>
      </c>
      <c r="BJ249" s="22"/>
      <c r="BK249" s="4"/>
    </row>
    <row r="250" spans="2:63" s="9" customFormat="1" ht="11.25" hidden="1">
      <c r="B250" s="9" t="str">
        <f>"MUNKAHELYI MUNKABALESETI NAPLÓ"</f>
        <v>MUNKAHELYI MUNKABALESETI NAPLÓ</v>
      </c>
      <c r="C250" s="9" t="str">
        <f>"347"</f>
        <v>347</v>
      </c>
      <c r="D250" s="22"/>
      <c r="E250" s="4"/>
      <c r="F250" s="4"/>
      <c r="G250" s="4"/>
      <c r="H250" s="22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10"/>
      <c r="AD250" s="4"/>
      <c r="AE250" s="4"/>
      <c r="AF250" s="4"/>
      <c r="AG250" s="4"/>
      <c r="AH250" s="4"/>
      <c r="AI250" s="4"/>
      <c r="AJ250" s="4"/>
      <c r="AK250" s="4"/>
      <c r="AL250" s="4"/>
      <c r="AM250" s="22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5">
        <f t="shared" si="6"/>
        <v>0</v>
      </c>
      <c r="BJ250" s="22"/>
      <c r="BK250" s="4"/>
    </row>
    <row r="251" spans="2:63" s="9" customFormat="1" ht="11.25" hidden="1">
      <c r="B251" s="9" t="str">
        <f>"MUNKAKÖRI ALK. ITTASSÁGI NAPLÓ"</f>
        <v>MUNKAKÖRI ALK. ITTASSÁGI NAPLÓ</v>
      </c>
      <c r="D251" s="22"/>
      <c r="E251" s="4"/>
      <c r="F251" s="4"/>
      <c r="G251" s="4"/>
      <c r="H251" s="22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10"/>
      <c r="AD251" s="4"/>
      <c r="AE251" s="4"/>
      <c r="AF251" s="4"/>
      <c r="AG251" s="4"/>
      <c r="AH251" s="4"/>
      <c r="AI251" s="4"/>
      <c r="AJ251" s="4"/>
      <c r="AK251" s="4"/>
      <c r="AL251" s="4"/>
      <c r="AM251" s="22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5">
        <f t="shared" si="6"/>
        <v>0</v>
      </c>
      <c r="BJ251" s="22"/>
      <c r="BK251" s="4"/>
    </row>
    <row r="252" spans="2:63" s="9" customFormat="1" ht="11.25" hidden="1">
      <c r="B252" s="9" t="str">
        <f>"MUNKAKÖRI ORVOSI ALK.VIZSGÁLAT"</f>
        <v>MUNKAKÖRI ORVOSI ALK.VIZSGÁLAT</v>
      </c>
      <c r="D252" s="22"/>
      <c r="E252" s="4"/>
      <c r="F252" s="4"/>
      <c r="G252" s="4"/>
      <c r="H252" s="22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10"/>
      <c r="AD252" s="4"/>
      <c r="AE252" s="4"/>
      <c r="AF252" s="4"/>
      <c r="AG252" s="4"/>
      <c r="AH252" s="4"/>
      <c r="AI252" s="4"/>
      <c r="AJ252" s="4"/>
      <c r="AK252" s="4"/>
      <c r="AL252" s="4"/>
      <c r="AM252" s="22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5">
        <f t="shared" si="6"/>
        <v>0</v>
      </c>
      <c r="BJ252" s="22"/>
      <c r="BK252" s="4"/>
    </row>
    <row r="253" spans="2:63" s="9" customFormat="1" ht="11.25" hidden="1">
      <c r="B253" s="9" t="str">
        <f>"MUNKALAP (ELŐLAP-2PLD-OS)"</f>
        <v>MUNKALAP (ELŐLAP-2PLD-OS)</v>
      </c>
      <c r="C253" s="9" t="str">
        <f>"A/4"</f>
        <v>A/4</v>
      </c>
      <c r="D253" s="22"/>
      <c r="E253" s="4"/>
      <c r="F253" s="4"/>
      <c r="G253" s="4"/>
      <c r="H253" s="22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10"/>
      <c r="AD253" s="4"/>
      <c r="AE253" s="4"/>
      <c r="AF253" s="4"/>
      <c r="AG253" s="4"/>
      <c r="AH253" s="4"/>
      <c r="AI253" s="4"/>
      <c r="AJ253" s="4"/>
      <c r="AK253" s="4"/>
      <c r="AL253" s="4"/>
      <c r="AM253" s="22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5">
        <f t="shared" si="6"/>
        <v>0</v>
      </c>
      <c r="BJ253" s="22"/>
      <c r="BK253" s="4"/>
    </row>
    <row r="254" spans="2:63" s="9" customFormat="1" ht="11.25" hidden="1">
      <c r="B254" s="9" t="str">
        <f>"MUNKALAP (HÁTLAP-2PLD-OS)"</f>
        <v>MUNKALAP (HÁTLAP-2PLD-OS)</v>
      </c>
      <c r="C254" s="9" t="str">
        <f>"A/4"</f>
        <v>A/4</v>
      </c>
      <c r="D254" s="22"/>
      <c r="E254" s="4"/>
      <c r="F254" s="4"/>
      <c r="G254" s="4"/>
      <c r="H254" s="22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10"/>
      <c r="AD254" s="4"/>
      <c r="AE254" s="4"/>
      <c r="AF254" s="4"/>
      <c r="AG254" s="4"/>
      <c r="AH254" s="4"/>
      <c r="AI254" s="4"/>
      <c r="AJ254" s="4"/>
      <c r="AK254" s="4"/>
      <c r="AL254" s="4"/>
      <c r="AM254" s="22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5">
        <f t="shared" si="6"/>
        <v>0</v>
      </c>
      <c r="BJ254" s="22"/>
      <c r="BK254" s="4"/>
    </row>
    <row r="255" spans="2:63" s="9" customFormat="1" ht="11.25" hidden="1">
      <c r="B255" s="9" t="str">
        <f>"MUNKAÜGYI TASAK"</f>
        <v>MUNKAÜGYI TASAK</v>
      </c>
      <c r="C255" s="9" t="str">
        <f>"11.R.SZ."</f>
        <v>11.R.SZ.</v>
      </c>
      <c r="D255" s="22"/>
      <c r="E255" s="4"/>
      <c r="F255" s="4"/>
      <c r="G255" s="4"/>
      <c r="H255" s="22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10"/>
      <c r="AD255" s="4"/>
      <c r="AE255" s="4"/>
      <c r="AF255" s="4"/>
      <c r="AG255" s="4"/>
      <c r="AH255" s="4"/>
      <c r="AI255" s="4"/>
      <c r="AJ255" s="4"/>
      <c r="AK255" s="4"/>
      <c r="AL255" s="4"/>
      <c r="AM255" s="22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5">
        <f t="shared" si="6"/>
        <v>0</v>
      </c>
      <c r="BJ255" s="22"/>
      <c r="BK255" s="4"/>
    </row>
    <row r="256" spans="2:63" s="9" customFormat="1" ht="11.25" hidden="1">
      <c r="B256" s="9" t="str">
        <f>"MUNKAVÁLLALÓI KARTON"</f>
        <v>MUNKAVÁLLALÓI KARTON</v>
      </c>
      <c r="C256" s="9" t="str">
        <f>"B.VÁLL 11."</f>
        <v>B.VÁLL 11.</v>
      </c>
      <c r="D256" s="22"/>
      <c r="E256" s="4"/>
      <c r="F256" s="4"/>
      <c r="G256" s="4"/>
      <c r="H256" s="22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10"/>
      <c r="AD256" s="4"/>
      <c r="AE256" s="4"/>
      <c r="AF256" s="4"/>
      <c r="AG256" s="4"/>
      <c r="AH256" s="4"/>
      <c r="AI256" s="4"/>
      <c r="AJ256" s="4"/>
      <c r="AK256" s="4"/>
      <c r="AL256" s="4"/>
      <c r="AM256" s="22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5">
        <f t="shared" si="6"/>
        <v>0</v>
      </c>
      <c r="BJ256" s="22"/>
      <c r="BK256" s="4"/>
    </row>
    <row r="257" spans="1:63" s="8" customFormat="1" ht="11.25">
      <c r="A257" s="8" t="s">
        <v>258</v>
      </c>
      <c r="B257" s="9" t="s">
        <v>50</v>
      </c>
      <c r="C257" s="9" t="s">
        <v>95</v>
      </c>
      <c r="D257" s="27" t="s">
        <v>26</v>
      </c>
      <c r="E257" s="5"/>
      <c r="F257" s="5"/>
      <c r="G257" s="5"/>
      <c r="H257" s="22"/>
      <c r="I257" s="5"/>
      <c r="J257" s="5">
        <v>2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11"/>
      <c r="AD257" s="5"/>
      <c r="AE257" s="5"/>
      <c r="AF257" s="5"/>
      <c r="AG257" s="5"/>
      <c r="AH257" s="5"/>
      <c r="AI257" s="5"/>
      <c r="AJ257" s="5"/>
      <c r="AK257" s="5"/>
      <c r="AL257" s="5"/>
      <c r="AM257" s="22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>
        <f t="shared" si="6"/>
        <v>2</v>
      </c>
      <c r="BJ257" s="27" t="s">
        <v>26</v>
      </c>
      <c r="BK257" s="5"/>
    </row>
    <row r="258" spans="2:63" s="8" customFormat="1" ht="11.25" hidden="1">
      <c r="B258" s="9" t="str">
        <f>"MŰANYAG RÁCS 25CM."</f>
        <v>MŰANYAG RÁCS 25CM.</v>
      </c>
      <c r="C258" s="9"/>
      <c r="D258" s="27"/>
      <c r="E258" s="5"/>
      <c r="F258" s="5"/>
      <c r="G258" s="5"/>
      <c r="H258" s="2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11"/>
      <c r="AD258" s="5"/>
      <c r="AE258" s="5"/>
      <c r="AF258" s="5"/>
      <c r="AG258" s="5"/>
      <c r="AH258" s="5"/>
      <c r="AI258" s="5"/>
      <c r="AJ258" s="5"/>
      <c r="AK258" s="5"/>
      <c r="AL258" s="5"/>
      <c r="AM258" s="22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>
        <f t="shared" si="6"/>
        <v>0</v>
      </c>
      <c r="BJ258" s="27"/>
      <c r="BK258" s="5"/>
    </row>
    <row r="259" spans="2:63" s="8" customFormat="1" ht="11.25" hidden="1">
      <c r="B259" s="9" t="str">
        <f aca="true" t="shared" si="8" ref="B259:B264">"MŰANYAG SPIRÁL"</f>
        <v>MŰANYAG SPIRÁL</v>
      </c>
      <c r="C259" s="9" t="str">
        <f>"10 MM-ES"</f>
        <v>10 MM-ES</v>
      </c>
      <c r="D259" s="27"/>
      <c r="E259" s="5"/>
      <c r="F259" s="5"/>
      <c r="G259" s="5"/>
      <c r="H259" s="2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11"/>
      <c r="AD259" s="5"/>
      <c r="AE259" s="5"/>
      <c r="AF259" s="5"/>
      <c r="AG259" s="5"/>
      <c r="AH259" s="5"/>
      <c r="AI259" s="5"/>
      <c r="AJ259" s="5"/>
      <c r="AK259" s="5"/>
      <c r="AL259" s="5"/>
      <c r="AM259" s="22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>
        <f t="shared" si="6"/>
        <v>0</v>
      </c>
      <c r="BJ259" s="27"/>
      <c r="BK259" s="5"/>
    </row>
    <row r="260" spans="2:65" s="8" customFormat="1" ht="11.25" hidden="1">
      <c r="B260" s="9" t="str">
        <f t="shared" si="8"/>
        <v>MŰANYAG SPIRÁL</v>
      </c>
      <c r="C260" s="9" t="str">
        <f>"12 MM-ES"</f>
        <v>12 MM-ES</v>
      </c>
      <c r="D260" s="27"/>
      <c r="E260" s="5"/>
      <c r="F260" s="5"/>
      <c r="G260" s="5"/>
      <c r="H260" s="2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11"/>
      <c r="AD260" s="5"/>
      <c r="AE260" s="5"/>
      <c r="AF260" s="5"/>
      <c r="AG260" s="5"/>
      <c r="AH260" s="5"/>
      <c r="AI260" s="5"/>
      <c r="AJ260" s="5"/>
      <c r="AK260" s="5"/>
      <c r="AL260" s="5"/>
      <c r="AM260" s="22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>
        <f t="shared" si="6"/>
        <v>0</v>
      </c>
      <c r="BJ260" s="27"/>
      <c r="BK260" s="5"/>
      <c r="BM260" s="9"/>
    </row>
    <row r="261" spans="2:65" s="9" customFormat="1" ht="11.25" hidden="1">
      <c r="B261" s="9" t="str">
        <f t="shared" si="8"/>
        <v>MŰANYAG SPIRÁL</v>
      </c>
      <c r="C261" s="9" t="str">
        <f>"12,5 MM-ES"</f>
        <v>12,5 MM-ES</v>
      </c>
      <c r="D261" s="22"/>
      <c r="E261" s="4"/>
      <c r="F261" s="4"/>
      <c r="G261" s="4"/>
      <c r="H261" s="22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10"/>
      <c r="AD261" s="4"/>
      <c r="AE261" s="4"/>
      <c r="AF261" s="4"/>
      <c r="AG261" s="4"/>
      <c r="AH261" s="4"/>
      <c r="AI261" s="4"/>
      <c r="AJ261" s="4"/>
      <c r="AK261" s="4"/>
      <c r="AL261" s="4"/>
      <c r="AM261" s="22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5">
        <f t="shared" si="6"/>
        <v>0</v>
      </c>
      <c r="BJ261" s="22"/>
      <c r="BK261" s="4"/>
      <c r="BM261" s="8"/>
    </row>
    <row r="262" spans="2:65" s="8" customFormat="1" ht="11.25" hidden="1">
      <c r="B262" s="9" t="str">
        <f t="shared" si="8"/>
        <v>MŰANYAG SPIRÁL</v>
      </c>
      <c r="C262" s="9" t="str">
        <f>"16 MM-ES"</f>
        <v>16 MM-ES</v>
      </c>
      <c r="D262" s="27"/>
      <c r="E262" s="5"/>
      <c r="F262" s="5"/>
      <c r="G262" s="5"/>
      <c r="H262" s="2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11"/>
      <c r="AD262" s="5"/>
      <c r="AE262" s="5"/>
      <c r="AF262" s="5"/>
      <c r="AG262" s="5"/>
      <c r="AH262" s="5"/>
      <c r="AI262" s="5"/>
      <c r="AJ262" s="5"/>
      <c r="AK262" s="5"/>
      <c r="AL262" s="5"/>
      <c r="AM262" s="22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>
        <f aca="true" t="shared" si="9" ref="BI262:BI325">SUM(E262:BH262)</f>
        <v>0</v>
      </c>
      <c r="BJ262" s="27"/>
      <c r="BK262" s="5"/>
      <c r="BM262" s="9"/>
    </row>
    <row r="263" spans="2:63" s="9" customFormat="1" ht="11.25" hidden="1">
      <c r="B263" s="9" t="str">
        <f t="shared" si="8"/>
        <v>MŰANYAG SPIRÁL</v>
      </c>
      <c r="C263" s="9" t="str">
        <f>"25 MM-ES"</f>
        <v>25 MM-ES</v>
      </c>
      <c r="D263" s="22"/>
      <c r="E263" s="4"/>
      <c r="F263" s="4"/>
      <c r="G263" s="4"/>
      <c r="H263" s="22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10"/>
      <c r="AD263" s="4"/>
      <c r="AE263" s="4"/>
      <c r="AF263" s="4"/>
      <c r="AG263" s="4"/>
      <c r="AH263" s="4"/>
      <c r="AI263" s="4"/>
      <c r="AJ263" s="4"/>
      <c r="AK263" s="4"/>
      <c r="AL263" s="4"/>
      <c r="AM263" s="22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5">
        <f t="shared" si="9"/>
        <v>0</v>
      </c>
      <c r="BJ263" s="22"/>
      <c r="BK263" s="4"/>
    </row>
    <row r="264" spans="2:65" s="9" customFormat="1" ht="11.25" hidden="1">
      <c r="B264" s="9" t="str">
        <f t="shared" si="8"/>
        <v>MŰANYAG SPIRÁL</v>
      </c>
      <c r="C264" s="9" t="str">
        <f>"28 MM-ES"</f>
        <v>28 MM-ES</v>
      </c>
      <c r="D264" s="22"/>
      <c r="E264" s="4"/>
      <c r="F264" s="4"/>
      <c r="G264" s="4"/>
      <c r="H264" s="22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10"/>
      <c r="AD264" s="4"/>
      <c r="AE264" s="4"/>
      <c r="AF264" s="4"/>
      <c r="AG264" s="4"/>
      <c r="AH264" s="4"/>
      <c r="AI264" s="4"/>
      <c r="AJ264" s="4"/>
      <c r="AK264" s="4"/>
      <c r="AL264" s="4"/>
      <c r="AM264" s="22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5">
        <f t="shared" si="9"/>
        <v>0</v>
      </c>
      <c r="BJ264" s="22"/>
      <c r="BK264" s="4"/>
      <c r="BM264" s="8"/>
    </row>
    <row r="265" spans="2:65" s="8" customFormat="1" ht="11.25" hidden="1">
      <c r="B265" s="9" t="str">
        <f>"MŰANYAG TÁBLA 160X100MM."</f>
        <v>MŰANYAG TÁBLA 160X100MM.</v>
      </c>
      <c r="C265" s="9"/>
      <c r="D265" s="27"/>
      <c r="E265" s="5"/>
      <c r="F265" s="5"/>
      <c r="G265" s="5"/>
      <c r="H265" s="2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11"/>
      <c r="AD265" s="5"/>
      <c r="AE265" s="5"/>
      <c r="AF265" s="5"/>
      <c r="AG265" s="5"/>
      <c r="AH265" s="5"/>
      <c r="AI265" s="5"/>
      <c r="AJ265" s="5"/>
      <c r="AK265" s="5"/>
      <c r="AL265" s="5"/>
      <c r="AM265" s="22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>
        <f t="shared" si="9"/>
        <v>0</v>
      </c>
      <c r="BJ265" s="27"/>
      <c r="BK265" s="5"/>
      <c r="BM265" s="9"/>
    </row>
    <row r="266" spans="2:65" s="9" customFormat="1" ht="11.25" hidden="1">
      <c r="B266" s="9" t="str">
        <f>"NAPTÁRHÁT (ASZTALI)"</f>
        <v>NAPTÁRHÁT (ASZTALI)</v>
      </c>
      <c r="D266" s="27"/>
      <c r="E266" s="4"/>
      <c r="F266" s="4"/>
      <c r="G266" s="4"/>
      <c r="H266" s="22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10"/>
      <c r="AD266" s="4"/>
      <c r="AE266" s="4"/>
      <c r="AF266" s="4"/>
      <c r="AG266" s="4"/>
      <c r="AH266" s="4"/>
      <c r="AI266" s="4"/>
      <c r="AJ266" s="4"/>
      <c r="AK266" s="4"/>
      <c r="AL266" s="4"/>
      <c r="AM266" s="22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5">
        <f t="shared" si="9"/>
        <v>0</v>
      </c>
      <c r="BJ266" s="27"/>
      <c r="BK266" s="4"/>
      <c r="BM266" s="8"/>
    </row>
    <row r="267" spans="2:63" s="8" customFormat="1" ht="11.25" hidden="1">
      <c r="B267" s="9" t="str">
        <f>"NÉVJEGYKARTON"</f>
        <v>NÉVJEGYKARTON</v>
      </c>
      <c r="C267" s="9" t="str">
        <f>"A/4"</f>
        <v>A/4</v>
      </c>
      <c r="D267" s="27"/>
      <c r="E267" s="5"/>
      <c r="F267" s="5"/>
      <c r="G267" s="5"/>
      <c r="H267" s="2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11"/>
      <c r="AD267" s="5"/>
      <c r="AE267" s="5"/>
      <c r="AF267" s="5"/>
      <c r="AG267" s="5"/>
      <c r="AH267" s="5"/>
      <c r="AI267" s="5"/>
      <c r="AJ267" s="5"/>
      <c r="AK267" s="5"/>
      <c r="AL267" s="5"/>
      <c r="AM267" s="22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>
        <f t="shared" si="9"/>
        <v>0</v>
      </c>
      <c r="BJ267" s="27"/>
      <c r="BK267" s="5"/>
    </row>
    <row r="268" spans="2:63" s="8" customFormat="1" ht="11.25" hidden="1">
      <c r="B268" s="9" t="s">
        <v>19</v>
      </c>
      <c r="C268" s="9" t="s">
        <v>18</v>
      </c>
      <c r="D268" s="27"/>
      <c r="E268" s="5"/>
      <c r="F268" s="5"/>
      <c r="G268" s="5"/>
      <c r="H268" s="2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11"/>
      <c r="AD268" s="5"/>
      <c r="AE268" s="5"/>
      <c r="AF268" s="5"/>
      <c r="AG268" s="5"/>
      <c r="AH268" s="5"/>
      <c r="AI268" s="5"/>
      <c r="AJ268" s="5"/>
      <c r="AK268" s="5"/>
      <c r="AL268" s="5"/>
      <c r="AM268" s="22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>
        <f t="shared" si="9"/>
        <v>0</v>
      </c>
      <c r="BJ268" s="27"/>
      <c r="BK268" s="5"/>
    </row>
    <row r="269" spans="2:63" s="8" customFormat="1" ht="11.25" hidden="1">
      <c r="B269" s="9" t="str">
        <f>"NÉVKITŰZŐ (SAKURA)"</f>
        <v>NÉVKITŰZŐ (SAKURA)</v>
      </c>
      <c r="C269" s="9" t="str">
        <f>"5X9 CM"</f>
        <v>5X9 CM</v>
      </c>
      <c r="D269" s="27"/>
      <c r="E269" s="5"/>
      <c r="F269" s="5"/>
      <c r="G269" s="5"/>
      <c r="H269" s="2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11"/>
      <c r="AD269" s="5"/>
      <c r="AE269" s="5"/>
      <c r="AF269" s="5"/>
      <c r="AG269" s="5"/>
      <c r="AH269" s="5"/>
      <c r="AI269" s="5"/>
      <c r="AJ269" s="5"/>
      <c r="AK269" s="5"/>
      <c r="AL269" s="5"/>
      <c r="AM269" s="22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>
        <f t="shared" si="9"/>
        <v>0</v>
      </c>
      <c r="BJ269" s="27"/>
      <c r="BK269" s="5"/>
    </row>
    <row r="270" spans="2:63" s="8" customFormat="1" ht="11.25" hidden="1">
      <c r="B270" s="9" t="str">
        <f>"NOTESZ (ÖNTAPADÓS) POS-IT INDEX"</f>
        <v>NOTESZ (ÖNTAPADÓS) POS-IT INDEX</v>
      </c>
      <c r="C270" s="9" t="str">
        <f>"4X35 LAP 11,9X43,1"</f>
        <v>4X35 LAP 11,9X43,1</v>
      </c>
      <c r="D270" s="27"/>
      <c r="E270" s="5"/>
      <c r="F270" s="5"/>
      <c r="G270" s="5"/>
      <c r="H270" s="2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11"/>
      <c r="AD270" s="5"/>
      <c r="AE270" s="5"/>
      <c r="AF270" s="5"/>
      <c r="AG270" s="5"/>
      <c r="AH270" s="5"/>
      <c r="AI270" s="5"/>
      <c r="AJ270" s="5"/>
      <c r="AK270" s="5"/>
      <c r="AL270" s="5"/>
      <c r="AM270" s="22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>
        <f t="shared" si="9"/>
        <v>0</v>
      </c>
      <c r="BJ270" s="27"/>
      <c r="BK270" s="5"/>
    </row>
    <row r="271" spans="2:63" s="8" customFormat="1" ht="11.25" hidden="1">
      <c r="B271" s="9" t="str">
        <f>"NOTESZ (SPIRÁL)"</f>
        <v>NOTESZ (SPIRÁL)</v>
      </c>
      <c r="C271" s="9" t="str">
        <f>"A/4"</f>
        <v>A/4</v>
      </c>
      <c r="D271" s="27"/>
      <c r="E271" s="5"/>
      <c r="F271" s="5"/>
      <c r="G271" s="5"/>
      <c r="H271" s="2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11"/>
      <c r="AD271" s="5"/>
      <c r="AE271" s="5"/>
      <c r="AF271" s="5"/>
      <c r="AG271" s="5"/>
      <c r="AH271" s="5"/>
      <c r="AI271" s="5"/>
      <c r="AJ271" s="5"/>
      <c r="AK271" s="5"/>
      <c r="AL271" s="5"/>
      <c r="AM271" s="22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>
        <f t="shared" si="9"/>
        <v>0</v>
      </c>
      <c r="BJ271" s="27"/>
      <c r="BK271" s="5"/>
    </row>
    <row r="272" spans="2:63" s="8" customFormat="1" ht="11.25" hidden="1">
      <c r="B272" s="9" t="str">
        <f>"NOTESZ (SPIRÁL)"</f>
        <v>NOTESZ (SPIRÁL)</v>
      </c>
      <c r="C272" s="9" t="str">
        <f>"A/5"</f>
        <v>A/5</v>
      </c>
      <c r="D272" s="27"/>
      <c r="E272" s="5"/>
      <c r="F272" s="5"/>
      <c r="G272" s="5"/>
      <c r="H272" s="2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11"/>
      <c r="AD272" s="5"/>
      <c r="AE272" s="5"/>
      <c r="AF272" s="5"/>
      <c r="AG272" s="5"/>
      <c r="AH272" s="5"/>
      <c r="AI272" s="5"/>
      <c r="AJ272" s="5"/>
      <c r="AK272" s="5"/>
      <c r="AL272" s="5"/>
      <c r="AM272" s="22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>
        <f t="shared" si="9"/>
        <v>0</v>
      </c>
      <c r="BJ272" s="27"/>
      <c r="BK272" s="5"/>
    </row>
    <row r="273" spans="2:65" s="8" customFormat="1" ht="11.25" hidden="1">
      <c r="B273" s="9" t="str">
        <f>"NOTESZ (SPIRÁL)"</f>
        <v>NOTESZ (SPIRÁL)</v>
      </c>
      <c r="C273" s="9" t="str">
        <f>"A/6"</f>
        <v>A/6</v>
      </c>
      <c r="D273" s="27"/>
      <c r="E273" s="5"/>
      <c r="F273" s="5"/>
      <c r="G273" s="5"/>
      <c r="H273" s="2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11"/>
      <c r="AD273" s="5"/>
      <c r="AE273" s="5"/>
      <c r="AF273" s="5"/>
      <c r="AG273" s="5"/>
      <c r="AH273" s="5"/>
      <c r="AI273" s="5"/>
      <c r="AJ273" s="5"/>
      <c r="AK273" s="5"/>
      <c r="AL273" s="5"/>
      <c r="AM273" s="22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>
        <f t="shared" si="9"/>
        <v>0</v>
      </c>
      <c r="BJ273" s="27"/>
      <c r="BK273" s="5"/>
      <c r="BM273" s="9"/>
    </row>
    <row r="274" spans="2:63" s="9" customFormat="1" ht="11.25" hidden="1">
      <c r="B274" s="9" t="str">
        <f>"NYUGTA (EGYSOROS) 50X2 LAPOS TÖMB"</f>
        <v>NYUGTA (EGYSOROS) 50X2 LAPOS TÖMB</v>
      </c>
      <c r="C274" s="9" t="str">
        <f>"B.15-40"</f>
        <v>B.15-40</v>
      </c>
      <c r="D274" s="27"/>
      <c r="E274" s="4"/>
      <c r="F274" s="4"/>
      <c r="G274" s="4"/>
      <c r="H274" s="22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10"/>
      <c r="AD274" s="4"/>
      <c r="AE274" s="4"/>
      <c r="AF274" s="4"/>
      <c r="AG274" s="4"/>
      <c r="AH274" s="4"/>
      <c r="AI274" s="4"/>
      <c r="AJ274" s="4"/>
      <c r="AK274" s="4"/>
      <c r="AL274" s="4"/>
      <c r="AM274" s="22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5">
        <f t="shared" si="9"/>
        <v>0</v>
      </c>
      <c r="BJ274" s="27"/>
      <c r="BK274" s="4"/>
    </row>
    <row r="275" spans="2:63" s="9" customFormat="1" ht="11.25" hidden="1">
      <c r="B275" s="9" t="str">
        <f>"OEP IGAZOLVÁNY"</f>
        <v>OEP IGAZOLVÁNY</v>
      </c>
      <c r="D275" s="22"/>
      <c r="E275" s="4"/>
      <c r="F275" s="4"/>
      <c r="G275" s="4"/>
      <c r="H275" s="22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10"/>
      <c r="AD275" s="4"/>
      <c r="AE275" s="4"/>
      <c r="AF275" s="4"/>
      <c r="AG275" s="4"/>
      <c r="AH275" s="4"/>
      <c r="AI275" s="4"/>
      <c r="AJ275" s="4"/>
      <c r="AK275" s="4"/>
      <c r="AL275" s="4"/>
      <c r="AM275" s="22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5">
        <f t="shared" si="9"/>
        <v>0</v>
      </c>
      <c r="BJ275" s="22"/>
      <c r="BK275" s="4"/>
    </row>
    <row r="276" spans="2:65" s="9" customFormat="1" ht="11.25" hidden="1">
      <c r="B276" s="9" t="str">
        <f>"OKLEVÉL (ÁLLTALÁNOS)"</f>
        <v>OKLEVÉL (ÁLLTALÁNOS)</v>
      </c>
      <c r="C276" s="9" t="str">
        <f>"A/4"</f>
        <v>A/4</v>
      </c>
      <c r="D276" s="22"/>
      <c r="E276" s="4"/>
      <c r="F276" s="4"/>
      <c r="G276" s="4"/>
      <c r="H276" s="22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10"/>
      <c r="AD276" s="4"/>
      <c r="AE276" s="4"/>
      <c r="AF276" s="4"/>
      <c r="AG276" s="4"/>
      <c r="AH276" s="4"/>
      <c r="AI276" s="4"/>
      <c r="AJ276" s="4"/>
      <c r="AK276" s="4"/>
      <c r="AL276" s="4"/>
      <c r="AM276" s="22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5">
        <f t="shared" si="9"/>
        <v>0</v>
      </c>
      <c r="BJ276" s="22"/>
      <c r="BK276" s="4"/>
      <c r="BM276" s="8"/>
    </row>
    <row r="277" spans="2:63" s="8" customFormat="1" ht="11.25" hidden="1">
      <c r="B277" s="9" t="str">
        <f>"OKMÁNYHENGER"</f>
        <v>OKMÁNYHENGER</v>
      </c>
      <c r="C277" s="9"/>
      <c r="D277" s="27"/>
      <c r="E277" s="5"/>
      <c r="F277" s="5"/>
      <c r="G277" s="5"/>
      <c r="H277" s="2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11"/>
      <c r="AD277" s="5"/>
      <c r="AE277" s="5"/>
      <c r="AF277" s="5"/>
      <c r="AG277" s="5"/>
      <c r="AH277" s="5"/>
      <c r="AI277" s="5"/>
      <c r="AJ277" s="5"/>
      <c r="AK277" s="5"/>
      <c r="AL277" s="5"/>
      <c r="AM277" s="22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>
        <f t="shared" si="9"/>
        <v>0</v>
      </c>
      <c r="BJ277" s="27"/>
      <c r="BK277" s="5"/>
    </row>
    <row r="278" spans="2:63" s="8" customFormat="1" ht="11.25" hidden="1">
      <c r="B278" s="9" t="str">
        <f>"OLLÓ (PAPÍRVÁGÓ)"</f>
        <v>OLLÓ (PAPÍRVÁGÓ)</v>
      </c>
      <c r="C278" s="9" t="str">
        <f>"12CM"</f>
        <v>12CM</v>
      </c>
      <c r="D278" s="27"/>
      <c r="E278" s="5"/>
      <c r="F278" s="5"/>
      <c r="G278" s="5"/>
      <c r="H278" s="2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11"/>
      <c r="AD278" s="5"/>
      <c r="AE278" s="5"/>
      <c r="AF278" s="5"/>
      <c r="AG278" s="5"/>
      <c r="AH278" s="5"/>
      <c r="AI278" s="5"/>
      <c r="AJ278" s="5"/>
      <c r="AK278" s="5"/>
      <c r="AL278" s="5"/>
      <c r="AM278" s="22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>
        <f t="shared" si="9"/>
        <v>0</v>
      </c>
      <c r="BJ278" s="27"/>
      <c r="BK278" s="5"/>
    </row>
    <row r="279" spans="1:63" s="8" customFormat="1" ht="11.25">
      <c r="A279" s="8" t="s">
        <v>259</v>
      </c>
      <c r="B279" s="9" t="str">
        <f>"IRATRENDEZŐ (TOKOS) NATÚR"</f>
        <v>IRATRENDEZŐ (TOKOS) NATÚR</v>
      </c>
      <c r="C279" s="9" t="str">
        <f>"A/4"</f>
        <v>A/4</v>
      </c>
      <c r="D279" s="27" t="s">
        <v>26</v>
      </c>
      <c r="E279" s="5"/>
      <c r="F279" s="5"/>
      <c r="G279" s="5"/>
      <c r="H279" s="2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11"/>
      <c r="AD279" s="5"/>
      <c r="AE279" s="5"/>
      <c r="AF279" s="5"/>
      <c r="AG279" s="5"/>
      <c r="AH279" s="5"/>
      <c r="AI279" s="5"/>
      <c r="AJ279" s="5"/>
      <c r="AK279" s="5"/>
      <c r="AL279" s="5"/>
      <c r="AM279" s="22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>
        <v>10</v>
      </c>
      <c r="BH279" s="5"/>
      <c r="BI279" s="5">
        <f t="shared" si="9"/>
        <v>10</v>
      </c>
      <c r="BJ279" s="27" t="s">
        <v>26</v>
      </c>
      <c r="BK279" s="5"/>
    </row>
    <row r="280" spans="1:63" s="8" customFormat="1" ht="11.25">
      <c r="A280" s="8" t="s">
        <v>260</v>
      </c>
      <c r="B280" s="9" t="str">
        <f>"IRATRENDEZŐ (TOKOS) SZÍNES"</f>
        <v>IRATRENDEZŐ (TOKOS) SZÍNES</v>
      </c>
      <c r="C280" s="9" t="str">
        <f>"A/4"</f>
        <v>A/4</v>
      </c>
      <c r="D280" s="27" t="s">
        <v>26</v>
      </c>
      <c r="E280" s="5"/>
      <c r="F280" s="5">
        <v>5</v>
      </c>
      <c r="G280" s="5"/>
      <c r="H280" s="2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11"/>
      <c r="AD280" s="5"/>
      <c r="AE280" s="5"/>
      <c r="AF280" s="5"/>
      <c r="AG280" s="5"/>
      <c r="AH280" s="5"/>
      <c r="AI280" s="5"/>
      <c r="AJ280" s="5"/>
      <c r="AK280" s="5"/>
      <c r="AL280" s="5"/>
      <c r="AM280" s="22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>
        <v>10</v>
      </c>
      <c r="BH280" s="5"/>
      <c r="BI280" s="5">
        <f t="shared" si="9"/>
        <v>15</v>
      </c>
      <c r="BJ280" s="27" t="s">
        <v>26</v>
      </c>
      <c r="BK280" s="5"/>
    </row>
    <row r="281" spans="2:63" s="8" customFormat="1" ht="11.25" hidden="1">
      <c r="B281" s="9" t="s">
        <v>53</v>
      </c>
      <c r="C281" s="9" t="str">
        <f>"KIS TEKERCS"</f>
        <v>KIS TEKERCS</v>
      </c>
      <c r="D281" s="27" t="s">
        <v>26</v>
      </c>
      <c r="E281" s="5"/>
      <c r="F281" s="5"/>
      <c r="G281" s="5"/>
      <c r="H281" s="2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11"/>
      <c r="AD281" s="5"/>
      <c r="AE281" s="5"/>
      <c r="AF281" s="5"/>
      <c r="AG281" s="5"/>
      <c r="AH281" s="5"/>
      <c r="AI281" s="5"/>
      <c r="AJ281" s="5"/>
      <c r="AK281" s="5"/>
      <c r="AL281" s="5"/>
      <c r="AM281" s="22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>
        <f t="shared" si="9"/>
        <v>0</v>
      </c>
      <c r="BJ281" s="27" t="s">
        <v>26</v>
      </c>
      <c r="BK281" s="5"/>
    </row>
    <row r="282" spans="1:63" s="8" customFormat="1" ht="11.25">
      <c r="A282" s="8" t="s">
        <v>261</v>
      </c>
      <c r="B282" s="9" t="str">
        <f>"IRATSÍN"</f>
        <v>IRATSÍN</v>
      </c>
      <c r="C282" s="9"/>
      <c r="D282" s="27" t="s">
        <v>26</v>
      </c>
      <c r="E282" s="5">
        <v>5</v>
      </c>
      <c r="F282" s="5"/>
      <c r="G282" s="5"/>
      <c r="H282" s="2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11"/>
      <c r="AD282" s="5"/>
      <c r="AE282" s="5"/>
      <c r="AF282" s="5"/>
      <c r="AG282" s="5"/>
      <c r="AH282" s="5"/>
      <c r="AI282" s="5"/>
      <c r="AJ282" s="5"/>
      <c r="AK282" s="5"/>
      <c r="AL282" s="5"/>
      <c r="AM282" s="22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>
        <f t="shared" si="9"/>
        <v>5</v>
      </c>
      <c r="BJ282" s="27" t="s">
        <v>26</v>
      </c>
      <c r="BK282" s="5"/>
    </row>
    <row r="283" spans="2:63" s="8" customFormat="1" ht="11.25" hidden="1">
      <c r="B283" s="9" t="str">
        <f>"RAGASZTÓ SZALAG (ÍRHATÓS)"</f>
        <v>RAGASZTÓ SZALAG (ÍRHATÓS)</v>
      </c>
      <c r="C283" s="9" t="str">
        <f>"19X32,9 MM"</f>
        <v>19X32,9 MM</v>
      </c>
      <c r="D283" s="27"/>
      <c r="E283" s="5"/>
      <c r="F283" s="5"/>
      <c r="G283" s="5"/>
      <c r="H283" s="2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11"/>
      <c r="AD283" s="5"/>
      <c r="AE283" s="5"/>
      <c r="AF283" s="5"/>
      <c r="AG283" s="5"/>
      <c r="AH283" s="5"/>
      <c r="AI283" s="5"/>
      <c r="AJ283" s="5"/>
      <c r="AK283" s="5"/>
      <c r="AL283" s="5"/>
      <c r="AM283" s="22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>
        <f t="shared" si="9"/>
        <v>0</v>
      </c>
      <c r="BJ283" s="27"/>
      <c r="BK283" s="5"/>
    </row>
    <row r="284" spans="2:63" s="8" customFormat="1" ht="11.25" hidden="1">
      <c r="B284" s="9" t="str">
        <f>"RAGASZTÓ SZALAG (KÉTOLDALÚ)"</f>
        <v>RAGASZTÓ SZALAG (KÉTOLDALÚ)</v>
      </c>
      <c r="C284" s="9" t="str">
        <f>"12,7X22,8 M"</f>
        <v>12,7X22,8 M</v>
      </c>
      <c r="D284" s="27"/>
      <c r="E284" s="5"/>
      <c r="F284" s="5"/>
      <c r="G284" s="5"/>
      <c r="H284" s="2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11"/>
      <c r="AD284" s="5"/>
      <c r="AE284" s="5"/>
      <c r="AF284" s="5"/>
      <c r="AG284" s="5"/>
      <c r="AH284" s="5"/>
      <c r="AI284" s="5"/>
      <c r="AJ284" s="5"/>
      <c r="AK284" s="5"/>
      <c r="AL284" s="5"/>
      <c r="AM284" s="22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>
        <f t="shared" si="9"/>
        <v>0</v>
      </c>
      <c r="BJ284" s="27"/>
      <c r="BK284" s="5"/>
    </row>
    <row r="285" spans="1:65" s="18" customFormat="1" ht="11.25">
      <c r="A285" s="9" t="s">
        <v>262</v>
      </c>
      <c r="B285" s="9" t="s">
        <v>60</v>
      </c>
      <c r="C285" s="9" t="s">
        <v>59</v>
      </c>
      <c r="D285" s="27" t="s">
        <v>26</v>
      </c>
      <c r="E285" s="4">
        <v>5</v>
      </c>
      <c r="F285" s="4"/>
      <c r="G285" s="22"/>
      <c r="H285" s="4"/>
      <c r="I285" s="4"/>
      <c r="J285" s="5"/>
      <c r="K285" s="5"/>
      <c r="L285" s="5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6"/>
      <c r="X285" s="4"/>
      <c r="Y285" s="4"/>
      <c r="Z285" s="4"/>
      <c r="AA285" s="4"/>
      <c r="AB285" s="4"/>
      <c r="AC285" s="10"/>
      <c r="AD285" s="4"/>
      <c r="AE285" s="4"/>
      <c r="AF285" s="4"/>
      <c r="AG285" s="4"/>
      <c r="AH285" s="4"/>
      <c r="AI285" s="4"/>
      <c r="AJ285" s="4"/>
      <c r="AK285" s="4"/>
      <c r="AL285" s="4"/>
      <c r="AM285" s="22"/>
      <c r="AN285" s="4"/>
      <c r="AO285" s="4"/>
      <c r="AP285" s="4"/>
      <c r="AQ285" s="5"/>
      <c r="AR285" s="5">
        <v>10</v>
      </c>
      <c r="AS285" s="5">
        <v>10</v>
      </c>
      <c r="AT285" s="5"/>
      <c r="AU285" s="5"/>
      <c r="AV285" s="5"/>
      <c r="AW285" s="5"/>
      <c r="AX285" s="5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5">
        <f t="shared" si="9"/>
        <v>25</v>
      </c>
      <c r="BJ285" s="27" t="s">
        <v>26</v>
      </c>
      <c r="BK285" s="6"/>
      <c r="BM285" s="26"/>
    </row>
    <row r="286" spans="2:63" s="8" customFormat="1" ht="11.25" hidden="1">
      <c r="B286" s="9" t="str">
        <f>"RAGASZTÓ SZALAG (KÉTOLDALÚ) TESA"</f>
        <v>RAGASZTÓ SZALAG (KÉTOLDALÚ) TESA</v>
      </c>
      <c r="C286" s="9" t="str">
        <f>"10MX50MM"</f>
        <v>10MX50MM</v>
      </c>
      <c r="D286" s="27"/>
      <c r="E286" s="5"/>
      <c r="F286" s="5"/>
      <c r="G286" s="5"/>
      <c r="H286" s="2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11"/>
      <c r="AD286" s="5"/>
      <c r="AE286" s="5"/>
      <c r="AF286" s="5"/>
      <c r="AG286" s="5"/>
      <c r="AH286" s="5"/>
      <c r="AI286" s="5"/>
      <c r="AJ286" s="5"/>
      <c r="AK286" s="5"/>
      <c r="AL286" s="5"/>
      <c r="AM286" s="22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>
        <f t="shared" si="9"/>
        <v>0</v>
      </c>
      <c r="BJ286" s="27"/>
      <c r="BK286" s="5"/>
    </row>
    <row r="287" spans="2:63" s="8" customFormat="1" ht="11.25" hidden="1">
      <c r="B287" s="9" t="str">
        <f>"RAGASZTÓ SZALAG (KÉTOLDALÚ) TESA"</f>
        <v>RAGASZTÓ SZALAG (KÉTOLDALÚ) TESA</v>
      </c>
      <c r="C287" s="9" t="str">
        <f>"20MX50MM"</f>
        <v>20MX50MM</v>
      </c>
      <c r="D287" s="27"/>
      <c r="E287" s="5"/>
      <c r="F287" s="5"/>
      <c r="G287" s="5"/>
      <c r="H287" s="2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11"/>
      <c r="AD287" s="5"/>
      <c r="AE287" s="5"/>
      <c r="AF287" s="5"/>
      <c r="AG287" s="5"/>
      <c r="AH287" s="5"/>
      <c r="AI287" s="5"/>
      <c r="AJ287" s="5"/>
      <c r="AK287" s="5"/>
      <c r="AL287" s="5"/>
      <c r="AM287" s="22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>
        <f t="shared" si="9"/>
        <v>0</v>
      </c>
      <c r="BJ287" s="27"/>
      <c r="BK287" s="5"/>
    </row>
    <row r="288" spans="2:63" s="8" customFormat="1" ht="11.25" hidden="1">
      <c r="B288" s="9" t="str">
        <f>"RAGASZTÓ SZALAG (KÉTOLDALÚ) TESA"</f>
        <v>RAGASZTÓ SZALAG (KÉTOLDALÚ) TESA</v>
      </c>
      <c r="C288" s="9" t="str">
        <f>"5MX50MM"</f>
        <v>5MX50MM</v>
      </c>
      <c r="D288" s="27"/>
      <c r="E288" s="5"/>
      <c r="F288" s="5"/>
      <c r="G288" s="5"/>
      <c r="H288" s="2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11"/>
      <c r="AD288" s="5"/>
      <c r="AE288" s="5"/>
      <c r="AF288" s="5"/>
      <c r="AG288" s="5"/>
      <c r="AH288" s="5"/>
      <c r="AI288" s="5"/>
      <c r="AJ288" s="5"/>
      <c r="AK288" s="5"/>
      <c r="AL288" s="5"/>
      <c r="AM288" s="22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>
        <f t="shared" si="9"/>
        <v>0</v>
      </c>
      <c r="BJ288" s="27"/>
      <c r="BK288" s="5"/>
    </row>
    <row r="289" spans="2:63" s="8" customFormat="1" ht="11.25" hidden="1">
      <c r="B289" s="9" t="str">
        <f>"RAGASZTÓ SZALAG (SCOTCH)"</f>
        <v>RAGASZTÓ SZALAG (SCOTCH)</v>
      </c>
      <c r="C289" s="9" t="str">
        <f>"19X1,5 MM"</f>
        <v>19X1,5 MM</v>
      </c>
      <c r="D289" s="27"/>
      <c r="E289" s="5"/>
      <c r="F289" s="5"/>
      <c r="G289" s="5"/>
      <c r="H289" s="2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11"/>
      <c r="AD289" s="5"/>
      <c r="AE289" s="5"/>
      <c r="AF289" s="5"/>
      <c r="AG289" s="5"/>
      <c r="AH289" s="5"/>
      <c r="AI289" s="5"/>
      <c r="AJ289" s="5"/>
      <c r="AK289" s="5"/>
      <c r="AL289" s="5"/>
      <c r="AM289" s="22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>
        <f t="shared" si="9"/>
        <v>0</v>
      </c>
      <c r="BJ289" s="27"/>
      <c r="BK289" s="5"/>
    </row>
    <row r="290" spans="1:63" s="8" customFormat="1" ht="11.25">
      <c r="A290" s="8" t="s">
        <v>263</v>
      </c>
      <c r="B290" s="9" t="s">
        <v>92</v>
      </c>
      <c r="C290" s="9" t="s">
        <v>36</v>
      </c>
      <c r="D290" s="27" t="s">
        <v>26</v>
      </c>
      <c r="E290" s="5">
        <v>5</v>
      </c>
      <c r="F290" s="5"/>
      <c r="G290" s="5"/>
      <c r="H290" s="2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11"/>
      <c r="AD290" s="5"/>
      <c r="AE290" s="5"/>
      <c r="AF290" s="5"/>
      <c r="AG290" s="5"/>
      <c r="AH290" s="5"/>
      <c r="AI290" s="5"/>
      <c r="AJ290" s="5"/>
      <c r="AK290" s="5"/>
      <c r="AL290" s="5"/>
      <c r="AM290" s="22"/>
      <c r="AN290" s="5"/>
      <c r="AO290" s="5"/>
      <c r="AP290" s="5"/>
      <c r="AQ290" s="5"/>
      <c r="AR290" s="5">
        <v>10</v>
      </c>
      <c r="AS290" s="5">
        <v>10</v>
      </c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>
        <f t="shared" si="9"/>
        <v>25</v>
      </c>
      <c r="BJ290" s="27" t="s">
        <v>26</v>
      </c>
      <c r="BK290" s="5"/>
    </row>
    <row r="291" spans="2:63" s="8" customFormat="1" ht="11.25" hidden="1">
      <c r="B291" s="9" t="str">
        <f>"RAGASZTÓ SZALAG TÜKÖRHÖZ"</f>
        <v>RAGASZTÓ SZALAG TÜKÖRHÖZ</v>
      </c>
      <c r="C291" s="9"/>
      <c r="D291" s="27"/>
      <c r="E291" s="5"/>
      <c r="F291" s="5"/>
      <c r="G291" s="5"/>
      <c r="H291" s="2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11"/>
      <c r="AD291" s="5"/>
      <c r="AE291" s="5"/>
      <c r="AF291" s="5"/>
      <c r="AG291" s="5"/>
      <c r="AH291" s="5"/>
      <c r="AI291" s="5"/>
      <c r="AJ291" s="5"/>
      <c r="AK291" s="5"/>
      <c r="AL291" s="5"/>
      <c r="AM291" s="22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>
        <f t="shared" si="9"/>
        <v>0</v>
      </c>
      <c r="BJ291" s="27"/>
      <c r="BK291" s="5"/>
    </row>
    <row r="292" spans="1:63" s="8" customFormat="1" ht="11.25">
      <c r="A292" s="8" t="s">
        <v>264</v>
      </c>
      <c r="B292" s="9" t="s">
        <v>164</v>
      </c>
      <c r="C292" s="9" t="s">
        <v>165</v>
      </c>
      <c r="D292" s="27" t="s">
        <v>106</v>
      </c>
      <c r="E292" s="5"/>
      <c r="F292" s="5"/>
      <c r="G292" s="5"/>
      <c r="H292" s="2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1</v>
      </c>
      <c r="X292" s="5"/>
      <c r="Y292" s="5"/>
      <c r="Z292" s="5"/>
      <c r="AA292" s="5"/>
      <c r="AB292" s="5"/>
      <c r="AC292" s="11"/>
      <c r="AD292" s="5"/>
      <c r="AE292" s="5"/>
      <c r="AF292" s="5"/>
      <c r="AG292" s="5"/>
      <c r="AH292" s="5"/>
      <c r="AI292" s="5"/>
      <c r="AJ292" s="5"/>
      <c r="AK292" s="5"/>
      <c r="AL292" s="5"/>
      <c r="AM292" s="22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>
        <f t="shared" si="9"/>
        <v>1</v>
      </c>
      <c r="BJ292" s="27" t="s">
        <v>106</v>
      </c>
      <c r="BK292" s="5"/>
    </row>
    <row r="293" spans="1:63" s="8" customFormat="1" ht="11.25">
      <c r="A293" s="8" t="s">
        <v>265</v>
      </c>
      <c r="B293" s="8" t="s">
        <v>117</v>
      </c>
      <c r="D293" s="27" t="s">
        <v>35</v>
      </c>
      <c r="E293" s="5">
        <v>1</v>
      </c>
      <c r="F293" s="5">
        <v>4</v>
      </c>
      <c r="G293" s="5">
        <v>2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11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>
        <f t="shared" si="9"/>
        <v>7</v>
      </c>
      <c r="BJ293" s="27" t="s">
        <v>35</v>
      </c>
      <c r="BK293" s="5"/>
    </row>
    <row r="294" spans="1:63" s="8" customFormat="1" ht="11.25">
      <c r="A294" s="8" t="s">
        <v>266</v>
      </c>
      <c r="B294" s="9" t="str">
        <f>"LAPSZÉLJELÖLŐ"</f>
        <v>LAPSZÉLJELÖLŐ</v>
      </c>
      <c r="C294" s="9" t="s">
        <v>97</v>
      </c>
      <c r="D294" s="27" t="s">
        <v>26</v>
      </c>
      <c r="E294" s="5"/>
      <c r="F294" s="5"/>
      <c r="G294" s="5"/>
      <c r="H294" s="2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11"/>
      <c r="AD294" s="5"/>
      <c r="AE294" s="5"/>
      <c r="AF294" s="5"/>
      <c r="AG294" s="5"/>
      <c r="AH294" s="5"/>
      <c r="AI294" s="5"/>
      <c r="AJ294" s="5"/>
      <c r="AK294" s="5"/>
      <c r="AL294" s="5"/>
      <c r="AM294" s="22"/>
      <c r="AN294" s="5"/>
      <c r="AO294" s="5"/>
      <c r="AP294" s="5"/>
      <c r="AQ294" s="5"/>
      <c r="AR294" s="5"/>
      <c r="AS294" s="5"/>
      <c r="AT294" s="5"/>
      <c r="AU294" s="5"/>
      <c r="AV294" s="5">
        <v>1</v>
      </c>
      <c r="AW294" s="5">
        <v>2</v>
      </c>
      <c r="AX294" s="5">
        <v>2</v>
      </c>
      <c r="AY294" s="5"/>
      <c r="AZ294" s="5"/>
      <c r="BA294" s="5"/>
      <c r="BB294" s="5"/>
      <c r="BC294" s="5"/>
      <c r="BD294" s="5"/>
      <c r="BE294" s="5">
        <v>3</v>
      </c>
      <c r="BF294" s="5"/>
      <c r="BG294" s="5"/>
      <c r="BH294" s="5"/>
      <c r="BI294" s="5">
        <f t="shared" si="9"/>
        <v>8</v>
      </c>
      <c r="BJ294" s="27" t="s">
        <v>26</v>
      </c>
      <c r="BK294" s="5"/>
    </row>
    <row r="295" spans="2:63" s="8" customFormat="1" ht="11.25" hidden="1">
      <c r="B295" s="9" t="str">
        <f>"RAJZLAP"</f>
        <v>RAJZLAP</v>
      </c>
      <c r="C295" s="9" t="str">
        <f>"A/1"</f>
        <v>A/1</v>
      </c>
      <c r="D295" s="27"/>
      <c r="E295" s="5"/>
      <c r="F295" s="5"/>
      <c r="G295" s="5"/>
      <c r="H295" s="2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11"/>
      <c r="AD295" s="5"/>
      <c r="AE295" s="5"/>
      <c r="AF295" s="5"/>
      <c r="AG295" s="5"/>
      <c r="AH295" s="5"/>
      <c r="AI295" s="5"/>
      <c r="AJ295" s="5"/>
      <c r="AK295" s="5"/>
      <c r="AL295" s="5"/>
      <c r="AM295" s="22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>
        <f t="shared" si="9"/>
        <v>0</v>
      </c>
      <c r="BJ295" s="27"/>
      <c r="BK295" s="5"/>
    </row>
    <row r="296" spans="2:63" s="8" customFormat="1" ht="11.25" hidden="1">
      <c r="B296" s="9" t="str">
        <f>"RAJZLAP"</f>
        <v>RAJZLAP</v>
      </c>
      <c r="C296" s="9" t="str">
        <f>"A/2"</f>
        <v>A/2</v>
      </c>
      <c r="D296" s="27"/>
      <c r="E296" s="5"/>
      <c r="F296" s="5"/>
      <c r="G296" s="5"/>
      <c r="H296" s="2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11"/>
      <c r="AD296" s="5"/>
      <c r="AE296" s="5"/>
      <c r="AF296" s="5"/>
      <c r="AG296" s="5"/>
      <c r="AH296" s="5"/>
      <c r="AI296" s="5"/>
      <c r="AJ296" s="5"/>
      <c r="AK296" s="5"/>
      <c r="AL296" s="5"/>
      <c r="AM296" s="22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>
        <f t="shared" si="9"/>
        <v>0</v>
      </c>
      <c r="BJ296" s="27"/>
      <c r="BK296" s="5"/>
    </row>
    <row r="297" spans="2:63" s="8" customFormat="1" ht="11.25" hidden="1">
      <c r="B297" s="9" t="str">
        <f>"RAJZLAP"</f>
        <v>RAJZLAP</v>
      </c>
      <c r="C297" s="9" t="str">
        <f>"A/4"</f>
        <v>A/4</v>
      </c>
      <c r="D297" s="27"/>
      <c r="E297" s="5"/>
      <c r="F297" s="5"/>
      <c r="G297" s="5"/>
      <c r="H297" s="2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11"/>
      <c r="AD297" s="5"/>
      <c r="AE297" s="5"/>
      <c r="AF297" s="5"/>
      <c r="AG297" s="5"/>
      <c r="AH297" s="5"/>
      <c r="AI297" s="5"/>
      <c r="AJ297" s="5"/>
      <c r="AK297" s="5"/>
      <c r="AL297" s="5"/>
      <c r="AM297" s="22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>
        <f t="shared" si="9"/>
        <v>0</v>
      </c>
      <c r="BJ297" s="27"/>
      <c r="BK297" s="5"/>
    </row>
    <row r="298" spans="1:63" s="8" customFormat="1" ht="11.25">
      <c r="A298" s="8" t="s">
        <v>267</v>
      </c>
      <c r="B298" s="9" t="str">
        <f>"LAPSZÉLJELÖLŐ"</f>
        <v>LAPSZÉLJELÖLŐ</v>
      </c>
      <c r="C298" s="9" t="s">
        <v>96</v>
      </c>
      <c r="D298" s="27" t="s">
        <v>26</v>
      </c>
      <c r="E298" s="5"/>
      <c r="F298" s="5"/>
      <c r="G298" s="5"/>
      <c r="H298" s="2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11"/>
      <c r="AD298" s="5"/>
      <c r="AE298" s="5"/>
      <c r="AF298" s="5"/>
      <c r="AG298" s="5"/>
      <c r="AH298" s="5"/>
      <c r="AI298" s="5"/>
      <c r="AJ298" s="5"/>
      <c r="AK298" s="5"/>
      <c r="AL298" s="5"/>
      <c r="AM298" s="22"/>
      <c r="AN298" s="5"/>
      <c r="AO298" s="5"/>
      <c r="AP298" s="5"/>
      <c r="AQ298" s="5"/>
      <c r="AR298" s="5"/>
      <c r="AS298" s="5"/>
      <c r="AT298" s="5"/>
      <c r="AU298" s="5"/>
      <c r="AV298" s="5"/>
      <c r="AW298" s="5">
        <v>2</v>
      </c>
      <c r="AX298" s="5">
        <v>2</v>
      </c>
      <c r="AY298" s="5"/>
      <c r="AZ298" s="5"/>
      <c r="BA298" s="5"/>
      <c r="BB298" s="5"/>
      <c r="BC298" s="5"/>
      <c r="BD298" s="5"/>
      <c r="BE298" s="5">
        <v>3</v>
      </c>
      <c r="BF298" s="5"/>
      <c r="BG298" s="5"/>
      <c r="BH298" s="5"/>
      <c r="BI298" s="5">
        <f t="shared" si="9"/>
        <v>7</v>
      </c>
      <c r="BJ298" s="27" t="s">
        <v>26</v>
      </c>
      <c r="BK298" s="5"/>
    </row>
    <row r="299" spans="2:63" s="9" customFormat="1" ht="11.25" hidden="1">
      <c r="B299" s="9" t="str">
        <f>"RAKTÁRI KÉSZLETNYILVÁNTARTÓ"</f>
        <v>RAKTÁRI KÉSZLETNYILVÁNTARTÓ</v>
      </c>
      <c r="C299" s="9" t="str">
        <f>"B.12-152"</f>
        <v>B.12-152</v>
      </c>
      <c r="D299" s="22"/>
      <c r="E299" s="4"/>
      <c r="F299" s="4"/>
      <c r="G299" s="4"/>
      <c r="H299" s="22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10"/>
      <c r="AD299" s="4"/>
      <c r="AE299" s="4"/>
      <c r="AF299" s="4"/>
      <c r="AG299" s="4"/>
      <c r="AH299" s="4"/>
      <c r="AI299" s="4"/>
      <c r="AJ299" s="4"/>
      <c r="AK299" s="4"/>
      <c r="AL299" s="4"/>
      <c r="AM299" s="22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5">
        <f t="shared" si="9"/>
        <v>0</v>
      </c>
      <c r="BJ299" s="22"/>
      <c r="BK299" s="4"/>
    </row>
    <row r="300" spans="1:63" s="8" customFormat="1" ht="10.5" customHeight="1">
      <c r="A300" s="8" t="s">
        <v>268</v>
      </c>
      <c r="B300" s="8" t="s">
        <v>143</v>
      </c>
      <c r="C300" s="8" t="s">
        <v>141</v>
      </c>
      <c r="D300" s="22" t="s">
        <v>26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>
        <v>1</v>
      </c>
      <c r="U300" s="5"/>
      <c r="V300" s="5">
        <v>1</v>
      </c>
      <c r="W300" s="5"/>
      <c r="X300" s="5"/>
      <c r="Y300" s="5"/>
      <c r="Z300" s="5"/>
      <c r="AA300" s="5"/>
      <c r="AB300" s="5"/>
      <c r="AC300" s="11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>
        <f t="shared" si="9"/>
        <v>2</v>
      </c>
      <c r="BJ300" s="22" t="s">
        <v>26</v>
      </c>
      <c r="BK300" s="5"/>
    </row>
    <row r="301" spans="2:63" s="9" customFormat="1" ht="11.25" hidden="1">
      <c r="B301" s="9" t="s">
        <v>2</v>
      </c>
      <c r="C301" s="9" t="s">
        <v>5</v>
      </c>
      <c r="D301" s="27" t="s">
        <v>26</v>
      </c>
      <c r="E301" s="4"/>
      <c r="F301" s="4"/>
      <c r="G301" s="4"/>
      <c r="H301" s="22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10"/>
      <c r="AD301" s="4"/>
      <c r="AE301" s="4"/>
      <c r="AF301" s="4"/>
      <c r="AG301" s="4"/>
      <c r="AH301" s="4"/>
      <c r="AI301" s="4"/>
      <c r="AJ301" s="4"/>
      <c r="AK301" s="4"/>
      <c r="AL301" s="4"/>
      <c r="AM301" s="22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5">
        <f t="shared" si="9"/>
        <v>0</v>
      </c>
      <c r="BJ301" s="27" t="s">
        <v>26</v>
      </c>
      <c r="BK301" s="4"/>
    </row>
    <row r="302" spans="1:65" s="8" customFormat="1" ht="11.25">
      <c r="A302" s="8" t="s">
        <v>269</v>
      </c>
      <c r="B302" s="9" t="s">
        <v>156</v>
      </c>
      <c r="C302" s="9" t="s">
        <v>98</v>
      </c>
      <c r="D302" s="27" t="s">
        <v>26</v>
      </c>
      <c r="E302" s="5"/>
      <c r="F302" s="5">
        <v>4</v>
      </c>
      <c r="G302" s="5"/>
      <c r="H302" s="22"/>
      <c r="I302" s="5"/>
      <c r="J302" s="5"/>
      <c r="K302" s="5"/>
      <c r="L302" s="5"/>
      <c r="M302" s="5"/>
      <c r="N302" s="5"/>
      <c r="O302" s="5"/>
      <c r="P302" s="5"/>
      <c r="Q302" s="5">
        <v>2</v>
      </c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11"/>
      <c r="AD302" s="5"/>
      <c r="AE302" s="5"/>
      <c r="AF302" s="5"/>
      <c r="AG302" s="5"/>
      <c r="AH302" s="5"/>
      <c r="AI302" s="5"/>
      <c r="AJ302" s="5"/>
      <c r="AK302" s="5"/>
      <c r="AL302" s="5"/>
      <c r="AM302" s="22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>
        <f t="shared" si="9"/>
        <v>6</v>
      </c>
      <c r="BJ302" s="27" t="s">
        <v>26</v>
      </c>
      <c r="BK302" s="5"/>
      <c r="BM302" s="9"/>
    </row>
    <row r="303" spans="2:63" s="9" customFormat="1" ht="11.25" hidden="1">
      <c r="B303" s="9" t="str">
        <f>"ROSTIRON  (MARKER CD-DVD)"</f>
        <v>ROSTIRON  (MARKER CD-DVD)</v>
      </c>
      <c r="C303" s="9" t="str">
        <f>"PENTEL"</f>
        <v>PENTEL</v>
      </c>
      <c r="D303" s="27" t="s">
        <v>26</v>
      </c>
      <c r="E303" s="4"/>
      <c r="F303" s="4"/>
      <c r="G303" s="4"/>
      <c r="H303" s="22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10"/>
      <c r="AD303" s="4"/>
      <c r="AE303" s="4"/>
      <c r="AF303" s="4"/>
      <c r="AG303" s="4"/>
      <c r="AH303" s="4"/>
      <c r="AI303" s="4"/>
      <c r="AJ303" s="4"/>
      <c r="AK303" s="4"/>
      <c r="AL303" s="4"/>
      <c r="AM303" s="22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5">
        <f t="shared" si="9"/>
        <v>0</v>
      </c>
      <c r="BJ303" s="27" t="s">
        <v>26</v>
      </c>
      <c r="BK303" s="4"/>
    </row>
    <row r="304" spans="2:65" s="9" customFormat="1" ht="11.25" hidden="1">
      <c r="B304" s="9" t="str">
        <f>"ROSTIRON (ALKOHOLOS) PENTEL (TŰFILC)"</f>
        <v>ROSTIRON (ALKOHOLOS) PENTEL (TŰFILC)</v>
      </c>
      <c r="C304" s="9" t="str">
        <f>"ULTRA FINE 3"</f>
        <v>ULTRA FINE 3</v>
      </c>
      <c r="D304" s="27" t="s">
        <v>26</v>
      </c>
      <c r="E304" s="4"/>
      <c r="F304" s="4"/>
      <c r="G304" s="4"/>
      <c r="H304" s="22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10"/>
      <c r="AD304" s="4"/>
      <c r="AE304" s="4"/>
      <c r="AF304" s="4"/>
      <c r="AG304" s="4"/>
      <c r="AH304" s="4"/>
      <c r="AI304" s="4"/>
      <c r="AJ304" s="4"/>
      <c r="AK304" s="4"/>
      <c r="AL304" s="4"/>
      <c r="AM304" s="22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5">
        <f t="shared" si="9"/>
        <v>0</v>
      </c>
      <c r="BJ304" s="27" t="s">
        <v>26</v>
      </c>
      <c r="BK304" s="4"/>
      <c r="BM304" s="8"/>
    </row>
    <row r="305" spans="2:63" s="8" customFormat="1" ht="11.25" hidden="1">
      <c r="B305" s="9" t="str">
        <f>"SIMÍTÓZÁRAS TASAK"</f>
        <v>SIMÍTÓZÁRAS TASAK</v>
      </c>
      <c r="C305" s="9" t="str">
        <f>"18X25 MM"</f>
        <v>18X25 MM</v>
      </c>
      <c r="D305" s="27" t="s">
        <v>26</v>
      </c>
      <c r="E305" s="5"/>
      <c r="F305" s="5"/>
      <c r="G305" s="5"/>
      <c r="H305" s="2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11"/>
      <c r="AD305" s="5"/>
      <c r="AE305" s="5"/>
      <c r="AF305" s="5"/>
      <c r="AG305" s="5"/>
      <c r="AH305" s="5"/>
      <c r="AI305" s="5"/>
      <c r="AJ305" s="5"/>
      <c r="AK305" s="5"/>
      <c r="AL305" s="5"/>
      <c r="AM305" s="22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>
        <f t="shared" si="9"/>
        <v>0</v>
      </c>
      <c r="BJ305" s="27" t="s">
        <v>26</v>
      </c>
      <c r="BK305" s="5"/>
    </row>
    <row r="306" spans="2:65" s="8" customFormat="1" ht="11.25" hidden="1">
      <c r="B306" s="9" t="str">
        <f>"SIMÍTÓZÁRAS TASAK"</f>
        <v>SIMÍTÓZÁRAS TASAK</v>
      </c>
      <c r="C306" s="9" t="str">
        <f>"20X32 MM"</f>
        <v>20X32 MM</v>
      </c>
      <c r="D306" s="27" t="s">
        <v>26</v>
      </c>
      <c r="E306" s="5"/>
      <c r="F306" s="5"/>
      <c r="G306" s="5"/>
      <c r="H306" s="2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11"/>
      <c r="AD306" s="5"/>
      <c r="AE306" s="5"/>
      <c r="AF306" s="5"/>
      <c r="AG306" s="5"/>
      <c r="AH306" s="5"/>
      <c r="AI306" s="5"/>
      <c r="AJ306" s="5"/>
      <c r="AK306" s="5"/>
      <c r="AL306" s="5"/>
      <c r="AM306" s="22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>
        <f t="shared" si="9"/>
        <v>0</v>
      </c>
      <c r="BJ306" s="27" t="s">
        <v>26</v>
      </c>
      <c r="BK306" s="5"/>
      <c r="BM306" s="9"/>
    </row>
    <row r="307" spans="2:65" s="9" customFormat="1" ht="11.25" hidden="1">
      <c r="B307" s="9" t="str">
        <f>"SZABADSÁGENGEDÉLY (B.18-49/V)"</f>
        <v>SZABADSÁGENGEDÉLY (B.18-49/V)</v>
      </c>
      <c r="C307" s="9" t="str">
        <f>"PÁTRIA"</f>
        <v>PÁTRIA</v>
      </c>
      <c r="D307" s="27" t="s">
        <v>26</v>
      </c>
      <c r="E307" s="4"/>
      <c r="F307" s="4"/>
      <c r="G307" s="4"/>
      <c r="H307" s="22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10"/>
      <c r="AD307" s="4"/>
      <c r="AE307" s="4"/>
      <c r="AF307" s="4"/>
      <c r="AG307" s="4"/>
      <c r="AH307" s="4"/>
      <c r="AI307" s="4"/>
      <c r="AJ307" s="4"/>
      <c r="AK307" s="4"/>
      <c r="AL307" s="4"/>
      <c r="AM307" s="22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5">
        <f t="shared" si="9"/>
        <v>0</v>
      </c>
      <c r="BJ307" s="27" t="s">
        <v>26</v>
      </c>
      <c r="BK307" s="4"/>
      <c r="BM307" s="8"/>
    </row>
    <row r="308" spans="2:63" s="8" customFormat="1" ht="11.25" hidden="1">
      <c r="B308" s="9" t="str">
        <f>"SZALAGDÍSZ"</f>
        <v>SZALAGDÍSZ</v>
      </c>
      <c r="C308" s="9"/>
      <c r="D308" s="27" t="s">
        <v>26</v>
      </c>
      <c r="E308" s="5"/>
      <c r="F308" s="5"/>
      <c r="G308" s="5"/>
      <c r="H308" s="2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11"/>
      <c r="AD308" s="5"/>
      <c r="AE308" s="5"/>
      <c r="AF308" s="5"/>
      <c r="AG308" s="5"/>
      <c r="AH308" s="5"/>
      <c r="AI308" s="5"/>
      <c r="AJ308" s="5"/>
      <c r="AK308" s="5"/>
      <c r="AL308" s="5"/>
      <c r="AM308" s="22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>
        <f t="shared" si="9"/>
        <v>0</v>
      </c>
      <c r="BJ308" s="27" t="s">
        <v>26</v>
      </c>
      <c r="BK308" s="5"/>
    </row>
    <row r="309" spans="1:65" s="9" customFormat="1" ht="11.25">
      <c r="A309" s="9" t="s">
        <v>270</v>
      </c>
      <c r="B309" s="9" t="s">
        <v>146</v>
      </c>
      <c r="C309" s="9" t="s">
        <v>150</v>
      </c>
      <c r="D309" s="27" t="s">
        <v>26</v>
      </c>
      <c r="E309" s="4"/>
      <c r="F309" s="4"/>
      <c r="G309" s="4"/>
      <c r="H309" s="22"/>
      <c r="I309" s="4"/>
      <c r="J309" s="4"/>
      <c r="K309" s="4">
        <v>1</v>
      </c>
      <c r="L309" s="4">
        <v>1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10"/>
      <c r="AD309" s="4"/>
      <c r="AE309" s="4"/>
      <c r="AF309" s="4"/>
      <c r="AG309" s="4"/>
      <c r="AH309" s="4"/>
      <c r="AI309" s="4"/>
      <c r="AJ309" s="4"/>
      <c r="AK309" s="4"/>
      <c r="AL309" s="4"/>
      <c r="AM309" s="22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5">
        <f t="shared" si="9"/>
        <v>2</v>
      </c>
      <c r="BJ309" s="27" t="s">
        <v>26</v>
      </c>
      <c r="BK309" s="4"/>
      <c r="BM309" s="8"/>
    </row>
    <row r="310" spans="1:63" s="8" customFormat="1" ht="11.25">
      <c r="A310" s="8" t="s">
        <v>271</v>
      </c>
      <c r="B310" s="8" t="s">
        <v>125</v>
      </c>
      <c r="C310" s="8" t="s">
        <v>18</v>
      </c>
      <c r="D310" s="27" t="s">
        <v>26</v>
      </c>
      <c r="E310" s="5"/>
      <c r="F310" s="5"/>
      <c r="G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11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>
        <v>2</v>
      </c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>
        <f t="shared" si="9"/>
        <v>2</v>
      </c>
      <c r="BJ310" s="27" t="s">
        <v>26</v>
      </c>
      <c r="BK310" s="5"/>
    </row>
    <row r="311" spans="1:63" s="8" customFormat="1" ht="11.25">
      <c r="A311" s="8" t="s">
        <v>272</v>
      </c>
      <c r="B311" s="8" t="s">
        <v>120</v>
      </c>
      <c r="C311" s="8" t="s">
        <v>119</v>
      </c>
      <c r="D311" s="27" t="s">
        <v>26</v>
      </c>
      <c r="E311" s="5">
        <v>5</v>
      </c>
      <c r="F311" s="5">
        <v>5</v>
      </c>
      <c r="G311" s="5"/>
      <c r="I311" s="5"/>
      <c r="J311" s="5">
        <v>5</v>
      </c>
      <c r="K311" s="5"/>
      <c r="L311" s="5"/>
      <c r="M311" s="5"/>
      <c r="N311" s="5"/>
      <c r="O311" s="5"/>
      <c r="P311" s="5"/>
      <c r="Q311" s="5"/>
      <c r="R311" s="5">
        <v>3</v>
      </c>
      <c r="S311" s="5"/>
      <c r="T311" s="5">
        <v>2</v>
      </c>
      <c r="U311" s="5"/>
      <c r="V311" s="5"/>
      <c r="W311" s="5"/>
      <c r="X311" s="5"/>
      <c r="Y311" s="5"/>
      <c r="Z311" s="5"/>
      <c r="AA311" s="5"/>
      <c r="AB311" s="5"/>
      <c r="AC311" s="11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>
        <v>5</v>
      </c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>
        <f t="shared" si="9"/>
        <v>25</v>
      </c>
      <c r="BJ311" s="27" t="s">
        <v>26</v>
      </c>
      <c r="BK311" s="5"/>
    </row>
    <row r="312" spans="1:63" s="8" customFormat="1" ht="11.25">
      <c r="A312" s="8" t="s">
        <v>273</v>
      </c>
      <c r="B312" s="8" t="s">
        <v>120</v>
      </c>
      <c r="C312" s="8" t="s">
        <v>160</v>
      </c>
      <c r="D312" s="27" t="s">
        <v>26</v>
      </c>
      <c r="E312" s="5"/>
      <c r="F312" s="5"/>
      <c r="G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>
        <v>5</v>
      </c>
      <c r="U312" s="5"/>
      <c r="V312" s="5"/>
      <c r="W312" s="5"/>
      <c r="X312" s="5"/>
      <c r="Y312" s="5"/>
      <c r="Z312" s="5"/>
      <c r="AA312" s="5"/>
      <c r="AB312" s="5"/>
      <c r="AC312" s="11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>
        <f t="shared" si="9"/>
        <v>5</v>
      </c>
      <c r="BJ312" s="27" t="s">
        <v>26</v>
      </c>
      <c r="BK312" s="5"/>
    </row>
    <row r="313" spans="1:63" s="8" customFormat="1" ht="11.25">
      <c r="A313" s="8" t="s">
        <v>274</v>
      </c>
      <c r="B313" s="9" t="str">
        <f>"OLLÓ (PAPÍRVÁGÓ)"</f>
        <v>OLLÓ (PAPÍRVÁGÓ)</v>
      </c>
      <c r="C313" s="9" t="str">
        <f>"21CM"</f>
        <v>21CM</v>
      </c>
      <c r="D313" s="27" t="s">
        <v>26</v>
      </c>
      <c r="E313" s="5"/>
      <c r="F313" s="5">
        <v>1</v>
      </c>
      <c r="G313" s="5"/>
      <c r="H313" s="2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>
        <v>1</v>
      </c>
      <c r="AA313" s="5"/>
      <c r="AB313" s="5"/>
      <c r="AC313" s="11"/>
      <c r="AD313" s="5"/>
      <c r="AE313" s="5"/>
      <c r="AF313" s="5"/>
      <c r="AG313" s="5"/>
      <c r="AH313" s="5"/>
      <c r="AI313" s="5"/>
      <c r="AJ313" s="5"/>
      <c r="AK313" s="5"/>
      <c r="AL313" s="5"/>
      <c r="AM313" s="22"/>
      <c r="AN313" s="5"/>
      <c r="AO313" s="5"/>
      <c r="AP313" s="5"/>
      <c r="AQ313" s="5"/>
      <c r="AR313" s="5"/>
      <c r="AS313" s="5"/>
      <c r="AT313" s="5"/>
      <c r="AU313" s="5"/>
      <c r="AV313" s="5">
        <v>1</v>
      </c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>
        <f t="shared" si="9"/>
        <v>3</v>
      </c>
      <c r="BJ313" s="27" t="s">
        <v>26</v>
      </c>
      <c r="BK313" s="5"/>
    </row>
    <row r="314" spans="1:63" s="8" customFormat="1" ht="11.25">
      <c r="A314" s="8" t="s">
        <v>275</v>
      </c>
      <c r="B314" s="8" t="s">
        <v>115</v>
      </c>
      <c r="C314" s="8" t="s">
        <v>116</v>
      </c>
      <c r="D314" s="27" t="s">
        <v>106</v>
      </c>
      <c r="E314" s="5"/>
      <c r="F314" s="5"/>
      <c r="G314" s="5"/>
      <c r="I314" s="5"/>
      <c r="J314" s="5"/>
      <c r="K314" s="5"/>
      <c r="L314" s="5"/>
      <c r="M314" s="5"/>
      <c r="N314" s="5"/>
      <c r="O314" s="5"/>
      <c r="P314" s="5"/>
      <c r="Q314" s="5">
        <v>5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11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>
        <v>1</v>
      </c>
      <c r="AX314" s="5">
        <v>1</v>
      </c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>
        <f t="shared" si="9"/>
        <v>7</v>
      </c>
      <c r="BJ314" s="27" t="s">
        <v>106</v>
      </c>
      <c r="BK314" s="5"/>
    </row>
    <row r="315" spans="2:63" s="9" customFormat="1" ht="11.25" hidden="1">
      <c r="B315" s="9" t="str">
        <f>"SZÁLLÍTÓJEGYZÉK (25X4)"</f>
        <v>SZÁLLÍTÓJEGYZÉK (25X4)</v>
      </c>
      <c r="C315" s="9" t="str">
        <f>"A/6"</f>
        <v>A/6</v>
      </c>
      <c r="D315" s="22"/>
      <c r="E315" s="4"/>
      <c r="F315" s="4"/>
      <c r="G315" s="4"/>
      <c r="H315" s="22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10"/>
      <c r="AD315" s="4"/>
      <c r="AE315" s="4"/>
      <c r="AF315" s="4"/>
      <c r="AG315" s="4"/>
      <c r="AH315" s="4"/>
      <c r="AI315" s="4"/>
      <c r="AJ315" s="4"/>
      <c r="AK315" s="4"/>
      <c r="AL315" s="4"/>
      <c r="AM315" s="22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5">
        <f t="shared" si="9"/>
        <v>0</v>
      </c>
      <c r="BJ315" s="22"/>
      <c r="BK315" s="4"/>
    </row>
    <row r="316" spans="2:63" s="9" customFormat="1" ht="11.25" hidden="1">
      <c r="B316" s="9" t="str">
        <f>"SZÁLLÍTÓLEVÉL"</f>
        <v>SZÁLLÍTÓLEVÉL</v>
      </c>
      <c r="C316" s="9" t="str">
        <f>"25X4 A/5"</f>
        <v>25X4 A/5</v>
      </c>
      <c r="D316" s="22"/>
      <c r="E316" s="4"/>
      <c r="F316" s="4"/>
      <c r="G316" s="4"/>
      <c r="H316" s="22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10"/>
      <c r="AD316" s="4"/>
      <c r="AE316" s="4"/>
      <c r="AF316" s="4"/>
      <c r="AG316" s="4"/>
      <c r="AH316" s="4"/>
      <c r="AI316" s="4"/>
      <c r="AJ316" s="4"/>
      <c r="AK316" s="4"/>
      <c r="AL316" s="4"/>
      <c r="AM316" s="22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5">
        <f t="shared" si="9"/>
        <v>0</v>
      </c>
      <c r="BJ316" s="22"/>
      <c r="BK316" s="4"/>
    </row>
    <row r="317" spans="2:65" s="9" customFormat="1" ht="11.25" hidden="1">
      <c r="B317" s="9" t="str">
        <f>"SZIGORÚ SZÁMADÁSÚ NYOMTATVÁNY NYILV."</f>
        <v>SZIGORÚ SZÁMADÁSÚ NYOMTATVÁNY NYILV.</v>
      </c>
      <c r="C317" s="9" t="str">
        <f>"A/4 D13-77"</f>
        <v>A/4 D13-77</v>
      </c>
      <c r="D317" s="27" t="s">
        <v>26</v>
      </c>
      <c r="E317" s="4"/>
      <c r="F317" s="4"/>
      <c r="G317" s="4"/>
      <c r="H317" s="22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10"/>
      <c r="AD317" s="4"/>
      <c r="AE317" s="4"/>
      <c r="AF317" s="4"/>
      <c r="AG317" s="4"/>
      <c r="AH317" s="4"/>
      <c r="AI317" s="4"/>
      <c r="AJ317" s="4"/>
      <c r="AK317" s="4"/>
      <c r="AL317" s="4"/>
      <c r="AM317" s="22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5">
        <f t="shared" si="9"/>
        <v>0</v>
      </c>
      <c r="BJ317" s="27" t="s">
        <v>26</v>
      </c>
      <c r="BK317" s="4"/>
      <c r="BM317" s="8"/>
    </row>
    <row r="318" spans="2:65" s="8" customFormat="1" ht="11.25" hidden="1">
      <c r="B318" s="9" t="str">
        <f>"SZIVACS (TÁBLATÖRLŐ)"</f>
        <v>SZIVACS (TÁBLATÖRLŐ)</v>
      </c>
      <c r="C318" s="9"/>
      <c r="D318" s="27" t="s">
        <v>26</v>
      </c>
      <c r="E318" s="5"/>
      <c r="F318" s="5"/>
      <c r="G318" s="5"/>
      <c r="H318" s="2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11"/>
      <c r="AD318" s="5"/>
      <c r="AE318" s="5"/>
      <c r="AF318" s="5"/>
      <c r="AG318" s="5"/>
      <c r="AH318" s="5"/>
      <c r="AI318" s="5"/>
      <c r="AJ318" s="5"/>
      <c r="AK318" s="5"/>
      <c r="AL318" s="5"/>
      <c r="AM318" s="22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>
        <f t="shared" si="9"/>
        <v>0</v>
      </c>
      <c r="BJ318" s="27" t="s">
        <v>26</v>
      </c>
      <c r="BK318" s="5"/>
      <c r="BM318" s="9"/>
    </row>
    <row r="319" spans="1:65" s="8" customFormat="1" ht="11.25">
      <c r="A319" s="8" t="s">
        <v>276</v>
      </c>
      <c r="B319" s="9" t="s">
        <v>52</v>
      </c>
      <c r="C319" s="9" t="s">
        <v>175</v>
      </c>
      <c r="D319" s="27" t="s">
        <v>26</v>
      </c>
      <c r="E319" s="5"/>
      <c r="F319" s="5"/>
      <c r="G319" s="5"/>
      <c r="H319" s="2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11"/>
      <c r="AD319" s="5"/>
      <c r="AE319" s="5"/>
      <c r="AF319" s="5"/>
      <c r="AG319" s="5"/>
      <c r="AH319" s="5"/>
      <c r="AI319" s="5"/>
      <c r="AJ319" s="5"/>
      <c r="AK319" s="5"/>
      <c r="AL319" s="5"/>
      <c r="AM319" s="22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>
        <v>2</v>
      </c>
      <c r="BD319" s="5">
        <v>5</v>
      </c>
      <c r="BE319" s="5"/>
      <c r="BF319" s="5"/>
      <c r="BG319" s="5"/>
      <c r="BH319" s="5"/>
      <c r="BI319" s="5">
        <f t="shared" si="9"/>
        <v>7</v>
      </c>
      <c r="BJ319" s="27" t="s">
        <v>26</v>
      </c>
      <c r="BK319" s="5"/>
      <c r="BM319" s="9"/>
    </row>
    <row r="320" spans="1:63" s="8" customFormat="1" ht="11.25">
      <c r="A320" s="8" t="s">
        <v>277</v>
      </c>
      <c r="B320" s="9" t="str">
        <f>"RADÍR"</f>
        <v>RADÍR</v>
      </c>
      <c r="C320" s="9" t="str">
        <f>"TIKKY 20"</f>
        <v>TIKKY 20</v>
      </c>
      <c r="D320" s="27" t="s">
        <v>26</v>
      </c>
      <c r="E320" s="5"/>
      <c r="F320" s="5">
        <v>2</v>
      </c>
      <c r="G320" s="5">
        <v>5</v>
      </c>
      <c r="H320" s="2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>
        <v>2</v>
      </c>
      <c r="W320" s="5"/>
      <c r="X320" s="5"/>
      <c r="Y320" s="5"/>
      <c r="Z320" s="5"/>
      <c r="AA320" s="5"/>
      <c r="AB320" s="5"/>
      <c r="AC320" s="11"/>
      <c r="AD320" s="5"/>
      <c r="AE320" s="5"/>
      <c r="AF320" s="5"/>
      <c r="AG320" s="5"/>
      <c r="AH320" s="5"/>
      <c r="AI320" s="5"/>
      <c r="AJ320" s="5"/>
      <c r="AK320" s="5"/>
      <c r="AL320" s="5"/>
      <c r="AM320" s="22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>
        <f t="shared" si="9"/>
        <v>9</v>
      </c>
      <c r="BJ320" s="27" t="s">
        <v>26</v>
      </c>
      <c r="BK320" s="5"/>
    </row>
    <row r="321" spans="1:63" s="8" customFormat="1" ht="11.25">
      <c r="A321" s="8" t="s">
        <v>278</v>
      </c>
      <c r="B321" s="9" t="s">
        <v>41</v>
      </c>
      <c r="C321" s="9"/>
      <c r="D321" s="27" t="s">
        <v>26</v>
      </c>
      <c r="E321" s="5">
        <v>1</v>
      </c>
      <c r="F321" s="5">
        <v>4</v>
      </c>
      <c r="G321" s="5">
        <v>3</v>
      </c>
      <c r="H321" s="22">
        <v>1</v>
      </c>
      <c r="I321" s="5"/>
      <c r="J321" s="5"/>
      <c r="K321" s="5">
        <v>1</v>
      </c>
      <c r="L321" s="5">
        <v>1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11"/>
      <c r="AD321" s="5"/>
      <c r="AE321" s="5"/>
      <c r="AF321" s="5"/>
      <c r="AG321" s="5"/>
      <c r="AH321" s="5"/>
      <c r="AI321" s="5"/>
      <c r="AJ321" s="5"/>
      <c r="AK321" s="5"/>
      <c r="AL321" s="5"/>
      <c r="AM321" s="22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>
        <f t="shared" si="9"/>
        <v>11</v>
      </c>
      <c r="BJ321" s="27" t="s">
        <v>26</v>
      </c>
      <c r="BK321" s="5"/>
    </row>
    <row r="322" spans="1:63" s="8" customFormat="1" ht="11.25">
      <c r="A322" s="8" t="s">
        <v>279</v>
      </c>
      <c r="B322" s="9" t="s">
        <v>42</v>
      </c>
      <c r="C322" s="9"/>
      <c r="D322" s="27" t="s">
        <v>26</v>
      </c>
      <c r="E322" s="5"/>
      <c r="F322" s="5">
        <v>4</v>
      </c>
      <c r="G322" s="5"/>
      <c r="H322" s="2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11"/>
      <c r="AD322" s="5"/>
      <c r="AE322" s="5"/>
      <c r="AF322" s="5"/>
      <c r="AG322" s="5"/>
      <c r="AH322" s="5"/>
      <c r="AI322" s="5"/>
      <c r="AJ322" s="5"/>
      <c r="AK322" s="5"/>
      <c r="AL322" s="5"/>
      <c r="AM322" s="22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>
        <f t="shared" si="9"/>
        <v>4</v>
      </c>
      <c r="BJ322" s="27" t="s">
        <v>26</v>
      </c>
      <c r="BK322" s="5"/>
    </row>
    <row r="323" spans="1:65" s="9" customFormat="1" ht="11.25">
      <c r="A323" s="9" t="s">
        <v>280</v>
      </c>
      <c r="B323" s="9" t="str">
        <f>"RAGASZTÓ STIFT"</f>
        <v>RAGASZTÓ STIFT</v>
      </c>
      <c r="C323" s="9" t="str">
        <f>"STANDARD"</f>
        <v>STANDARD</v>
      </c>
      <c r="D323" s="27" t="s">
        <v>26</v>
      </c>
      <c r="E323" s="4"/>
      <c r="F323" s="4"/>
      <c r="G323" s="4">
        <v>2</v>
      </c>
      <c r="H323" s="22"/>
      <c r="I323" s="4"/>
      <c r="J323" s="4"/>
      <c r="K323" s="4"/>
      <c r="L323" s="4"/>
      <c r="M323" s="4"/>
      <c r="N323" s="4">
        <v>2</v>
      </c>
      <c r="O323" s="4"/>
      <c r="P323" s="4"/>
      <c r="Q323" s="4"/>
      <c r="R323" s="4"/>
      <c r="S323" s="4"/>
      <c r="T323" s="4">
        <v>1</v>
      </c>
      <c r="U323" s="4"/>
      <c r="V323" s="4"/>
      <c r="W323" s="4"/>
      <c r="X323" s="4"/>
      <c r="Y323" s="4"/>
      <c r="Z323" s="4"/>
      <c r="AA323" s="4"/>
      <c r="AB323" s="4"/>
      <c r="AC323" s="10"/>
      <c r="AD323" s="4"/>
      <c r="AE323" s="4"/>
      <c r="AF323" s="4"/>
      <c r="AG323" s="4"/>
      <c r="AH323" s="4"/>
      <c r="AI323" s="4"/>
      <c r="AJ323" s="4"/>
      <c r="AK323" s="4"/>
      <c r="AL323" s="4"/>
      <c r="AM323" s="22"/>
      <c r="AN323" s="4"/>
      <c r="AO323" s="4"/>
      <c r="AP323" s="4"/>
      <c r="AQ323" s="4"/>
      <c r="AR323" s="4">
        <v>1</v>
      </c>
      <c r="AS323" s="4">
        <v>1</v>
      </c>
      <c r="AT323" s="4"/>
      <c r="AU323" s="4"/>
      <c r="AV323" s="4">
        <v>1</v>
      </c>
      <c r="AW323" s="4">
        <v>1</v>
      </c>
      <c r="AX323" s="4">
        <v>1</v>
      </c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5">
        <f t="shared" si="9"/>
        <v>10</v>
      </c>
      <c r="BJ323" s="27" t="s">
        <v>26</v>
      </c>
      <c r="BK323" s="4"/>
      <c r="BM323" s="8"/>
    </row>
    <row r="324" spans="2:63" s="8" customFormat="1" ht="11.25" hidden="1">
      <c r="B324" s="9" t="str">
        <f>"TÁBLATŰ"</f>
        <v>TÁBLATŰ</v>
      </c>
      <c r="C324" s="9"/>
      <c r="D324" s="27"/>
      <c r="E324" s="5"/>
      <c r="F324" s="5"/>
      <c r="G324" s="5"/>
      <c r="H324" s="2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11"/>
      <c r="AD324" s="5"/>
      <c r="AE324" s="5"/>
      <c r="AF324" s="5"/>
      <c r="AG324" s="5"/>
      <c r="AH324" s="5"/>
      <c r="AI324" s="5"/>
      <c r="AJ324" s="5"/>
      <c r="AK324" s="5"/>
      <c r="AL324" s="5"/>
      <c r="AM324" s="22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>
        <f t="shared" si="9"/>
        <v>0</v>
      </c>
      <c r="BJ324" s="27"/>
      <c r="BK324" s="5"/>
    </row>
    <row r="325" spans="2:63" s="8" customFormat="1" ht="11.25" hidden="1">
      <c r="B325" s="9" t="str">
        <f>"TASAK"</f>
        <v>TASAK</v>
      </c>
      <c r="C325" s="9"/>
      <c r="D325" s="27"/>
      <c r="E325" s="5"/>
      <c r="F325" s="5"/>
      <c r="G325" s="5"/>
      <c r="H325" s="2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11"/>
      <c r="AD325" s="5"/>
      <c r="AE325" s="5"/>
      <c r="AF325" s="5"/>
      <c r="AG325" s="5"/>
      <c r="AH325" s="5"/>
      <c r="AI325" s="5"/>
      <c r="AJ325" s="5"/>
      <c r="AK325" s="5"/>
      <c r="AL325" s="5"/>
      <c r="AM325" s="22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>
        <f t="shared" si="9"/>
        <v>0</v>
      </c>
      <c r="BJ325" s="27"/>
      <c r="BK325" s="5"/>
    </row>
    <row r="326" spans="2:63" s="8" customFormat="1" ht="11.25" hidden="1">
      <c r="B326" s="9" t="str">
        <f>"TASAK (CIPZÁRAS)"</f>
        <v>TASAK (CIPZÁRAS)</v>
      </c>
      <c r="C326" s="9" t="str">
        <f>"A/4"</f>
        <v>A/4</v>
      </c>
      <c r="D326" s="27"/>
      <c r="E326" s="5"/>
      <c r="F326" s="5"/>
      <c r="G326" s="5"/>
      <c r="H326" s="2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11"/>
      <c r="AD326" s="5"/>
      <c r="AE326" s="5"/>
      <c r="AF326" s="5"/>
      <c r="AG326" s="5"/>
      <c r="AH326" s="5"/>
      <c r="AI326" s="5"/>
      <c r="AJ326" s="5"/>
      <c r="AK326" s="5"/>
      <c r="AL326" s="5"/>
      <c r="AM326" s="22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>
        <f aca="true" t="shared" si="10" ref="BI326:BI389">SUM(E326:BH326)</f>
        <v>0</v>
      </c>
      <c r="BJ326" s="27"/>
      <c r="BK326" s="5"/>
    </row>
    <row r="327" spans="2:65" s="8" customFormat="1" ht="11.25" hidden="1">
      <c r="B327" s="9" t="str">
        <f>"TASAK (CIPZÁRAS)"</f>
        <v>TASAK (CIPZÁRAS)</v>
      </c>
      <c r="C327" s="9" t="str">
        <f>"A/5"</f>
        <v>A/5</v>
      </c>
      <c r="D327" s="27"/>
      <c r="E327" s="5"/>
      <c r="F327" s="5"/>
      <c r="G327" s="5"/>
      <c r="H327" s="2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11"/>
      <c r="AD327" s="5"/>
      <c r="AE327" s="5"/>
      <c r="AF327" s="5"/>
      <c r="AG327" s="5"/>
      <c r="AH327" s="5"/>
      <c r="AI327" s="5"/>
      <c r="AJ327" s="5"/>
      <c r="AK327" s="5"/>
      <c r="AL327" s="5"/>
      <c r="AM327" s="22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>
        <f t="shared" si="10"/>
        <v>0</v>
      </c>
      <c r="BJ327" s="27"/>
      <c r="BK327" s="5"/>
      <c r="BM327" s="9"/>
    </row>
    <row r="328" spans="2:65" s="9" customFormat="1" ht="11.25" hidden="1">
      <c r="B328" s="9" t="str">
        <f>"TB NAPTÁR"</f>
        <v>TB NAPTÁR</v>
      </c>
      <c r="D328" s="22"/>
      <c r="E328" s="4"/>
      <c r="F328" s="4"/>
      <c r="G328" s="4"/>
      <c r="H328" s="22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10"/>
      <c r="AD328" s="4"/>
      <c r="AE328" s="4"/>
      <c r="AF328" s="4"/>
      <c r="AG328" s="4"/>
      <c r="AH328" s="4"/>
      <c r="AI328" s="4"/>
      <c r="AJ328" s="4"/>
      <c r="AK328" s="4"/>
      <c r="AL328" s="4"/>
      <c r="AM328" s="22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5">
        <f t="shared" si="10"/>
        <v>0</v>
      </c>
      <c r="BJ328" s="22"/>
      <c r="BK328" s="4"/>
      <c r="BM328" s="8"/>
    </row>
    <row r="329" spans="2:63" s="8" customFormat="1" ht="11.25" hidden="1">
      <c r="B329" s="9" t="str">
        <f>"TELEFONBLOKK"</f>
        <v>TELEFONBLOKK</v>
      </c>
      <c r="C329" s="9"/>
      <c r="D329" s="27"/>
      <c r="E329" s="5"/>
      <c r="F329" s="5"/>
      <c r="G329" s="5"/>
      <c r="H329" s="2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11"/>
      <c r="AD329" s="5"/>
      <c r="AE329" s="5"/>
      <c r="AF329" s="5"/>
      <c r="AG329" s="5"/>
      <c r="AH329" s="5"/>
      <c r="AI329" s="5"/>
      <c r="AJ329" s="5"/>
      <c r="AK329" s="5"/>
      <c r="AL329" s="5"/>
      <c r="AM329" s="22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>
        <f t="shared" si="10"/>
        <v>0</v>
      </c>
      <c r="BJ329" s="27"/>
      <c r="BK329" s="5"/>
    </row>
    <row r="330" spans="2:63" s="8" customFormat="1" ht="11.25" hidden="1">
      <c r="B330" s="9" t="str">
        <f>"TÉPŐTÖMB (FEHÉR)"</f>
        <v>TÉPŐTÖMB (FEHÉR)</v>
      </c>
      <c r="C330" s="9" t="str">
        <f>"009X009 CM"</f>
        <v>009X009 CM</v>
      </c>
      <c r="D330" s="27"/>
      <c r="E330" s="5"/>
      <c r="F330" s="5"/>
      <c r="G330" s="5"/>
      <c r="H330" s="2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11"/>
      <c r="AD330" s="5"/>
      <c r="AE330" s="5"/>
      <c r="AF330" s="5"/>
      <c r="AG330" s="5"/>
      <c r="AH330" s="5"/>
      <c r="AI330" s="5"/>
      <c r="AJ330" s="5"/>
      <c r="AK330" s="5"/>
      <c r="AL330" s="5"/>
      <c r="AM330" s="22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>
        <f t="shared" si="10"/>
        <v>0</v>
      </c>
      <c r="BJ330" s="27"/>
      <c r="BK330" s="5"/>
    </row>
    <row r="331" spans="1:63" s="8" customFormat="1" ht="11.25">
      <c r="A331" s="8" t="s">
        <v>281</v>
      </c>
      <c r="B331" s="9" t="str">
        <f>"RAGASZTÓ SZALAG (CELLUX)"</f>
        <v>RAGASZTÓ SZALAG (CELLUX)</v>
      </c>
      <c r="C331" s="9" t="str">
        <f>"KIS TEKERCS"</f>
        <v>KIS TEKERCS</v>
      </c>
      <c r="D331" s="27" t="s">
        <v>26</v>
      </c>
      <c r="E331" s="5"/>
      <c r="F331" s="5">
        <v>2</v>
      </c>
      <c r="G331" s="5">
        <v>10</v>
      </c>
      <c r="H331" s="22"/>
      <c r="I331" s="5"/>
      <c r="J331" s="5"/>
      <c r="K331" s="5"/>
      <c r="L331" s="5"/>
      <c r="M331" s="5"/>
      <c r="N331" s="5">
        <v>5</v>
      </c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11"/>
      <c r="AD331" s="5"/>
      <c r="AE331" s="5"/>
      <c r="AF331" s="5"/>
      <c r="AG331" s="5"/>
      <c r="AH331" s="5"/>
      <c r="AI331" s="5"/>
      <c r="AJ331" s="5"/>
      <c r="AK331" s="5"/>
      <c r="AL331" s="5"/>
      <c r="AM331" s="22"/>
      <c r="AN331" s="5"/>
      <c r="AO331" s="5"/>
      <c r="AP331" s="5"/>
      <c r="AQ331" s="5"/>
      <c r="AR331" s="5"/>
      <c r="AS331" s="5"/>
      <c r="AT331" s="5"/>
      <c r="AU331" s="5"/>
      <c r="AV331" s="5"/>
      <c r="AW331" s="5">
        <v>1</v>
      </c>
      <c r="AX331" s="5">
        <v>1</v>
      </c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>
        <f t="shared" si="10"/>
        <v>19</v>
      </c>
      <c r="BJ331" s="27" t="s">
        <v>26</v>
      </c>
      <c r="BK331" s="5"/>
    </row>
    <row r="332" spans="1:63" s="8" customFormat="1" ht="11.25">
      <c r="A332" s="8" t="s">
        <v>282</v>
      </c>
      <c r="B332" s="9" t="str">
        <f>"RAGASZTÓ SZALAG (CELLUX)"</f>
        <v>RAGASZTÓ SZALAG (CELLUX)</v>
      </c>
      <c r="C332" s="9" t="str">
        <f>"KÖZEPES TEKERCS"</f>
        <v>KÖZEPES TEKERCS</v>
      </c>
      <c r="D332" s="27" t="s">
        <v>26</v>
      </c>
      <c r="E332" s="5"/>
      <c r="F332" s="5">
        <v>2</v>
      </c>
      <c r="G332" s="5"/>
      <c r="H332" s="22"/>
      <c r="I332" s="5"/>
      <c r="J332" s="5"/>
      <c r="K332" s="5"/>
      <c r="L332" s="5"/>
      <c r="M332" s="5"/>
      <c r="N332" s="5">
        <v>5</v>
      </c>
      <c r="O332" s="5"/>
      <c r="P332" s="5"/>
      <c r="Q332" s="5">
        <v>1</v>
      </c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11"/>
      <c r="AD332" s="5"/>
      <c r="AE332" s="5"/>
      <c r="AF332" s="5"/>
      <c r="AG332" s="5"/>
      <c r="AH332" s="5"/>
      <c r="AI332" s="5"/>
      <c r="AJ332" s="5"/>
      <c r="AK332" s="5"/>
      <c r="AL332" s="5"/>
      <c r="AM332" s="22"/>
      <c r="AN332" s="5"/>
      <c r="AO332" s="5"/>
      <c r="AP332" s="5"/>
      <c r="AQ332" s="5"/>
      <c r="AR332" s="5"/>
      <c r="AS332" s="5"/>
      <c r="AT332" s="5"/>
      <c r="AU332" s="5"/>
      <c r="AV332" s="5">
        <v>2</v>
      </c>
      <c r="AW332" s="5"/>
      <c r="AX332" s="5"/>
      <c r="AY332" s="5"/>
      <c r="AZ332" s="5">
        <v>2</v>
      </c>
      <c r="BA332" s="5"/>
      <c r="BB332" s="5"/>
      <c r="BC332" s="5"/>
      <c r="BD332" s="5"/>
      <c r="BE332" s="5"/>
      <c r="BF332" s="5"/>
      <c r="BG332" s="5"/>
      <c r="BH332" s="5"/>
      <c r="BI332" s="5">
        <f t="shared" si="10"/>
        <v>12</v>
      </c>
      <c r="BJ332" s="27" t="s">
        <v>26</v>
      </c>
      <c r="BK332" s="5"/>
    </row>
    <row r="333" spans="2:63" s="8" customFormat="1" ht="11.25" hidden="1">
      <c r="B333" s="9" t="s">
        <v>21</v>
      </c>
      <c r="C333" s="9" t="str">
        <f>"051X038 MM"</f>
        <v>051X038 MM</v>
      </c>
      <c r="D333" s="27" t="s">
        <v>26</v>
      </c>
      <c r="E333" s="5"/>
      <c r="F333" s="5"/>
      <c r="G333" s="5"/>
      <c r="H333" s="2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11"/>
      <c r="AD333" s="5"/>
      <c r="AE333" s="5"/>
      <c r="AF333" s="5"/>
      <c r="AG333" s="5"/>
      <c r="AH333" s="5"/>
      <c r="AI333" s="5"/>
      <c r="AJ333" s="5"/>
      <c r="AK333" s="5"/>
      <c r="AL333" s="5"/>
      <c r="AM333" s="22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>
        <f t="shared" si="10"/>
        <v>0</v>
      </c>
      <c r="BJ333" s="27" t="s">
        <v>26</v>
      </c>
      <c r="BK333" s="5"/>
    </row>
    <row r="334" spans="1:63" s="8" customFormat="1" ht="11.25">
      <c r="A334" s="8" t="s">
        <v>283</v>
      </c>
      <c r="B334" s="9" t="s">
        <v>53</v>
      </c>
      <c r="C334" s="9" t="s">
        <v>54</v>
      </c>
      <c r="D334" s="27" t="s">
        <v>26</v>
      </c>
      <c r="E334" s="5"/>
      <c r="F334" s="5">
        <v>2</v>
      </c>
      <c r="G334" s="5"/>
      <c r="H334" s="22"/>
      <c r="I334" s="5"/>
      <c r="J334" s="5"/>
      <c r="K334" s="5">
        <v>1</v>
      </c>
      <c r="L334" s="5">
        <v>1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11"/>
      <c r="AD334" s="5"/>
      <c r="AE334" s="5"/>
      <c r="AF334" s="5"/>
      <c r="AG334" s="5"/>
      <c r="AH334" s="5"/>
      <c r="AI334" s="5"/>
      <c r="AJ334" s="5"/>
      <c r="AK334" s="5"/>
      <c r="AL334" s="5"/>
      <c r="AM334" s="22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>
        <f t="shared" si="10"/>
        <v>4</v>
      </c>
      <c r="BJ334" s="27" t="s">
        <v>26</v>
      </c>
      <c r="BK334" s="5"/>
    </row>
    <row r="335" spans="2:63" s="8" customFormat="1" ht="11.25" hidden="1">
      <c r="B335" s="9" t="s">
        <v>22</v>
      </c>
      <c r="C335" s="9" t="str">
        <f>"127X075 MM"</f>
        <v>127X075 MM</v>
      </c>
      <c r="D335" s="27" t="s">
        <v>26</v>
      </c>
      <c r="E335" s="5"/>
      <c r="F335" s="5"/>
      <c r="G335" s="5"/>
      <c r="H335" s="2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11"/>
      <c r="AD335" s="5"/>
      <c r="AE335" s="5"/>
      <c r="AF335" s="5"/>
      <c r="AG335" s="5"/>
      <c r="AH335" s="5"/>
      <c r="AI335" s="5"/>
      <c r="AJ335" s="5"/>
      <c r="AK335" s="5"/>
      <c r="AL335" s="5"/>
      <c r="AM335" s="22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>
        <f t="shared" si="10"/>
        <v>0</v>
      </c>
      <c r="BJ335" s="27" t="s">
        <v>26</v>
      </c>
      <c r="BK335" s="5"/>
    </row>
    <row r="336" spans="2:63" s="8" customFormat="1" ht="11.25" hidden="1">
      <c r="B336" s="9" t="str">
        <f>"TÉPŐTÖMB (SZÍNES-CSAVART)"</f>
        <v>TÉPŐTÖMB (SZÍNES-CSAVART)</v>
      </c>
      <c r="C336" s="9" t="str">
        <f>"010X010 MM"</f>
        <v>010X010 MM</v>
      </c>
      <c r="D336" s="27" t="s">
        <v>26</v>
      </c>
      <c r="E336" s="5"/>
      <c r="F336" s="5"/>
      <c r="G336" s="5"/>
      <c r="H336" s="2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11"/>
      <c r="AD336" s="5"/>
      <c r="AE336" s="5"/>
      <c r="AF336" s="5"/>
      <c r="AG336" s="5"/>
      <c r="AH336" s="5"/>
      <c r="AI336" s="5"/>
      <c r="AJ336" s="5"/>
      <c r="AK336" s="5"/>
      <c r="AL336" s="5"/>
      <c r="AM336" s="22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>
        <f t="shared" si="10"/>
        <v>0</v>
      </c>
      <c r="BJ336" s="27" t="s">
        <v>26</v>
      </c>
      <c r="BK336" s="5"/>
    </row>
    <row r="337" spans="2:65" s="8" customFormat="1" ht="11.25" hidden="1">
      <c r="B337" s="9" t="str">
        <f>"TÉRKÉPTŰ"</f>
        <v>TÉRKÉPTŰ</v>
      </c>
      <c r="C337" s="9" t="str">
        <f>"SAKOTA"</f>
        <v>SAKOTA</v>
      </c>
      <c r="D337" s="27" t="s">
        <v>26</v>
      </c>
      <c r="E337" s="5"/>
      <c r="F337" s="5"/>
      <c r="G337" s="5"/>
      <c r="H337" s="2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11"/>
      <c r="AD337" s="5"/>
      <c r="AE337" s="5"/>
      <c r="AF337" s="5"/>
      <c r="AG337" s="5"/>
      <c r="AH337" s="5"/>
      <c r="AI337" s="5"/>
      <c r="AJ337" s="5"/>
      <c r="AK337" s="5"/>
      <c r="AL337" s="5"/>
      <c r="AM337" s="22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>
        <f t="shared" si="10"/>
        <v>0</v>
      </c>
      <c r="BJ337" s="27" t="s">
        <v>26</v>
      </c>
      <c r="BK337" s="5"/>
      <c r="BM337" s="9"/>
    </row>
    <row r="338" spans="2:63" s="9" customFormat="1" ht="11.25" hidden="1">
      <c r="B338" s="9" t="str">
        <f>"TÖLTŐTOLL PATRON"</f>
        <v>TÖLTŐTOLL PATRON</v>
      </c>
      <c r="C338" s="9" t="str">
        <f>"PAX"</f>
        <v>PAX</v>
      </c>
      <c r="D338" s="27" t="s">
        <v>26</v>
      </c>
      <c r="E338" s="4"/>
      <c r="F338" s="4"/>
      <c r="G338" s="4"/>
      <c r="H338" s="22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10"/>
      <c r="AD338" s="4"/>
      <c r="AE338" s="4"/>
      <c r="AF338" s="4"/>
      <c r="AG338" s="4"/>
      <c r="AH338" s="4"/>
      <c r="AI338" s="4"/>
      <c r="AJ338" s="4"/>
      <c r="AK338" s="4"/>
      <c r="AL338" s="4"/>
      <c r="AM338" s="22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5">
        <f t="shared" si="10"/>
        <v>0</v>
      </c>
      <c r="BJ338" s="27" t="s">
        <v>26</v>
      </c>
      <c r="BK338" s="4"/>
    </row>
    <row r="339" spans="2:65" s="9" customFormat="1" ht="11.25" hidden="1">
      <c r="B339" s="9" t="str">
        <f>"TUSTINTA (ROTRING)"</f>
        <v>TUSTINTA (ROTRING)</v>
      </c>
      <c r="D339" s="27" t="s">
        <v>26</v>
      </c>
      <c r="E339" s="4"/>
      <c r="F339" s="4"/>
      <c r="G339" s="4"/>
      <c r="H339" s="22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10"/>
      <c r="AD339" s="4"/>
      <c r="AE339" s="4"/>
      <c r="AF339" s="4"/>
      <c r="AG339" s="4"/>
      <c r="AH339" s="4"/>
      <c r="AI339" s="4"/>
      <c r="AJ339" s="4"/>
      <c r="AK339" s="4"/>
      <c r="AL339" s="4"/>
      <c r="AM339" s="22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5">
        <f t="shared" si="10"/>
        <v>0</v>
      </c>
      <c r="BJ339" s="27" t="s">
        <v>26</v>
      </c>
      <c r="BK339" s="4"/>
      <c r="BM339" s="8"/>
    </row>
    <row r="340" spans="2:63" s="8" customFormat="1" ht="11.25" hidden="1">
      <c r="B340" s="9" t="s">
        <v>23</v>
      </c>
      <c r="C340" s="9" t="str">
        <f>"DELI NO. 0327"</f>
        <v>DELI NO. 0327</v>
      </c>
      <c r="D340" s="27" t="s">
        <v>26</v>
      </c>
      <c r="E340" s="5"/>
      <c r="F340" s="5"/>
      <c r="G340" s="5"/>
      <c r="H340" s="2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11"/>
      <c r="AD340" s="5"/>
      <c r="AE340" s="5"/>
      <c r="AF340" s="5"/>
      <c r="AG340" s="5"/>
      <c r="AH340" s="5"/>
      <c r="AI340" s="5"/>
      <c r="AJ340" s="5"/>
      <c r="AK340" s="5"/>
      <c r="AL340" s="5"/>
      <c r="AM340" s="22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>
        <f t="shared" si="10"/>
        <v>0</v>
      </c>
      <c r="BJ340" s="27" t="s">
        <v>26</v>
      </c>
      <c r="BK340" s="5"/>
    </row>
    <row r="341" spans="1:63" s="8" customFormat="1" ht="11.25">
      <c r="A341" s="8" t="s">
        <v>284</v>
      </c>
      <c r="B341" s="9" t="s">
        <v>38</v>
      </c>
      <c r="C341" s="9" t="str">
        <f>"100 DB-OS"</f>
        <v>100 DB-OS</v>
      </c>
      <c r="D341" s="27" t="s">
        <v>34</v>
      </c>
      <c r="E341" s="5"/>
      <c r="F341" s="5">
        <v>1</v>
      </c>
      <c r="G341" s="5"/>
      <c r="H341" s="2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11"/>
      <c r="AD341" s="5"/>
      <c r="AE341" s="5"/>
      <c r="AF341" s="5"/>
      <c r="AG341" s="5"/>
      <c r="AH341" s="5"/>
      <c r="AI341" s="5"/>
      <c r="AJ341" s="5"/>
      <c r="AK341" s="5"/>
      <c r="AL341" s="5"/>
      <c r="AM341" s="22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>
        <f t="shared" si="10"/>
        <v>1</v>
      </c>
      <c r="BJ341" s="27" t="s">
        <v>34</v>
      </c>
      <c r="BK341" s="5"/>
    </row>
    <row r="342" spans="1:65" s="8" customFormat="1" ht="11.25">
      <c r="A342" s="8" t="s">
        <v>285</v>
      </c>
      <c r="B342" s="9" t="s">
        <v>39</v>
      </c>
      <c r="C342" s="9" t="s">
        <v>20</v>
      </c>
      <c r="D342" s="27" t="s">
        <v>34</v>
      </c>
      <c r="E342" s="5">
        <v>1</v>
      </c>
      <c r="F342" s="5">
        <v>2</v>
      </c>
      <c r="G342" s="5"/>
      <c r="H342" s="22"/>
      <c r="I342" s="5"/>
      <c r="J342" s="5"/>
      <c r="K342" s="5"/>
      <c r="L342" s="5"/>
      <c r="M342" s="5"/>
      <c r="N342" s="5">
        <v>1</v>
      </c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11"/>
      <c r="AD342" s="5"/>
      <c r="AE342" s="5"/>
      <c r="AF342" s="5"/>
      <c r="AG342" s="5"/>
      <c r="AH342" s="5"/>
      <c r="AI342" s="5"/>
      <c r="AJ342" s="5"/>
      <c r="AK342" s="5"/>
      <c r="AL342" s="5"/>
      <c r="AM342" s="22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>
        <f t="shared" si="10"/>
        <v>4</v>
      </c>
      <c r="BJ342" s="27" t="s">
        <v>34</v>
      </c>
      <c r="BK342" s="5"/>
      <c r="BM342" s="9"/>
    </row>
    <row r="343" spans="2:63" s="8" customFormat="1" ht="11.25" hidden="1">
      <c r="B343" s="9" t="s">
        <v>23</v>
      </c>
      <c r="C343" s="9" t="str">
        <f>"MAPED VIVO"</f>
        <v>MAPED VIVO</v>
      </c>
      <c r="D343" s="27"/>
      <c r="E343" s="5"/>
      <c r="F343" s="5"/>
      <c r="G343" s="5"/>
      <c r="H343" s="2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11"/>
      <c r="AD343" s="5"/>
      <c r="AE343" s="5"/>
      <c r="AF343" s="5"/>
      <c r="AG343" s="5"/>
      <c r="AH343" s="5"/>
      <c r="AI343" s="5"/>
      <c r="AJ343" s="5"/>
      <c r="AK343" s="5"/>
      <c r="AL343" s="5"/>
      <c r="AM343" s="22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>
        <f t="shared" si="10"/>
        <v>0</v>
      </c>
      <c r="BJ343" s="27"/>
      <c r="BK343" s="5"/>
    </row>
    <row r="344" spans="2:63" s="8" customFormat="1" ht="11.25" hidden="1">
      <c r="B344" s="9" t="s">
        <v>23</v>
      </c>
      <c r="C344" s="9" t="str">
        <f>"REXEL ACCO"</f>
        <v>REXEL ACCO</v>
      </c>
      <c r="D344" s="27"/>
      <c r="E344" s="5"/>
      <c r="F344" s="5"/>
      <c r="G344" s="5"/>
      <c r="H344" s="2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11"/>
      <c r="AD344" s="5"/>
      <c r="AE344" s="5"/>
      <c r="AF344" s="5"/>
      <c r="AG344" s="5"/>
      <c r="AH344" s="5"/>
      <c r="AI344" s="5"/>
      <c r="AJ344" s="5"/>
      <c r="AK344" s="5"/>
      <c r="AL344" s="5"/>
      <c r="AM344" s="22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>
        <f t="shared" si="10"/>
        <v>0</v>
      </c>
      <c r="BJ344" s="27"/>
      <c r="BK344" s="5"/>
    </row>
    <row r="345" spans="2:63" s="8" customFormat="1" ht="11.25" hidden="1">
      <c r="B345" s="9" t="s">
        <v>23</v>
      </c>
      <c r="C345" s="9" t="str">
        <f>"TRAPER"</f>
        <v>TRAPER</v>
      </c>
      <c r="D345" s="27"/>
      <c r="E345" s="5"/>
      <c r="F345" s="5"/>
      <c r="G345" s="5"/>
      <c r="H345" s="2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11"/>
      <c r="AD345" s="5"/>
      <c r="AE345" s="5"/>
      <c r="AF345" s="5"/>
      <c r="AG345" s="5"/>
      <c r="AH345" s="5"/>
      <c r="AI345" s="5"/>
      <c r="AJ345" s="5"/>
      <c r="AK345" s="5"/>
      <c r="AL345" s="5"/>
      <c r="AM345" s="22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>
        <f t="shared" si="10"/>
        <v>0</v>
      </c>
      <c r="BJ345" s="27"/>
      <c r="BK345" s="5"/>
    </row>
    <row r="346" spans="2:63" s="8" customFormat="1" ht="11.25" hidden="1">
      <c r="B346" s="9" t="s">
        <v>23</v>
      </c>
      <c r="C346" s="9" t="s">
        <v>24</v>
      </c>
      <c r="D346" s="27"/>
      <c r="E346" s="5"/>
      <c r="F346" s="5"/>
      <c r="G346" s="5"/>
      <c r="H346" s="2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11"/>
      <c r="AD346" s="5"/>
      <c r="AE346" s="5"/>
      <c r="AF346" s="5"/>
      <c r="AG346" s="5"/>
      <c r="AH346" s="5"/>
      <c r="AI346" s="5"/>
      <c r="AJ346" s="5"/>
      <c r="AK346" s="5"/>
      <c r="AL346" s="5"/>
      <c r="AM346" s="22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>
        <f t="shared" si="10"/>
        <v>0</v>
      </c>
      <c r="BJ346" s="27"/>
      <c r="BK346" s="5"/>
    </row>
    <row r="347" spans="2:63" s="8" customFormat="1" ht="11.25" hidden="1">
      <c r="B347" s="9" t="s">
        <v>25</v>
      </c>
      <c r="C347" s="9" t="s">
        <v>8</v>
      </c>
      <c r="D347" s="27"/>
      <c r="E347" s="5"/>
      <c r="F347" s="5"/>
      <c r="G347" s="5"/>
      <c r="H347" s="2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11"/>
      <c r="AD347" s="5"/>
      <c r="AE347" s="5"/>
      <c r="AF347" s="5"/>
      <c r="AG347" s="5"/>
      <c r="AH347" s="5"/>
      <c r="AI347" s="5"/>
      <c r="AJ347" s="5"/>
      <c r="AK347" s="5"/>
      <c r="AL347" s="5"/>
      <c r="AM347" s="22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>
        <f t="shared" si="10"/>
        <v>0</v>
      </c>
      <c r="BJ347" s="27"/>
      <c r="BK347" s="5"/>
    </row>
    <row r="348" spans="1:63" s="9" customFormat="1" ht="11.25">
      <c r="A348" s="9" t="s">
        <v>286</v>
      </c>
      <c r="B348" s="9" t="s">
        <v>48</v>
      </c>
      <c r="C348" s="9" t="s">
        <v>83</v>
      </c>
      <c r="D348" s="27" t="s">
        <v>26</v>
      </c>
      <c r="E348" s="4"/>
      <c r="F348" s="4"/>
      <c r="G348" s="4"/>
      <c r="H348" s="22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>
        <v>2</v>
      </c>
      <c r="U348" s="4"/>
      <c r="V348" s="4"/>
      <c r="W348" s="4"/>
      <c r="X348" s="4"/>
      <c r="Y348" s="4"/>
      <c r="Z348" s="4"/>
      <c r="AA348" s="4"/>
      <c r="AB348" s="4"/>
      <c r="AC348" s="10"/>
      <c r="AD348" s="4"/>
      <c r="AE348" s="4"/>
      <c r="AF348" s="4"/>
      <c r="AG348" s="4"/>
      <c r="AH348" s="4"/>
      <c r="AI348" s="4"/>
      <c r="AJ348" s="4"/>
      <c r="AK348" s="4"/>
      <c r="AL348" s="4"/>
      <c r="AM348" s="22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5">
        <f t="shared" si="10"/>
        <v>2</v>
      </c>
      <c r="BJ348" s="27" t="s">
        <v>26</v>
      </c>
      <c r="BK348" s="4"/>
    </row>
    <row r="349" spans="2:63" s="8" customFormat="1" ht="11.25" hidden="1">
      <c r="B349" s="9" t="s">
        <v>32</v>
      </c>
      <c r="C349" s="9" t="str">
        <f>"23/8"</f>
        <v>23/8</v>
      </c>
      <c r="D349" s="27"/>
      <c r="E349" s="5"/>
      <c r="F349" s="5"/>
      <c r="G349" s="5"/>
      <c r="H349" s="2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11"/>
      <c r="AD349" s="5"/>
      <c r="AE349" s="5"/>
      <c r="AF349" s="5"/>
      <c r="AG349" s="5"/>
      <c r="AH349" s="5"/>
      <c r="AI349" s="5"/>
      <c r="AJ349" s="5"/>
      <c r="AK349" s="5"/>
      <c r="AL349" s="5"/>
      <c r="AM349" s="22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>
        <f t="shared" si="10"/>
        <v>0</v>
      </c>
      <c r="BJ349" s="27"/>
      <c r="BK349" s="5"/>
    </row>
    <row r="350" spans="2:63" s="8" customFormat="1" ht="11.25" hidden="1">
      <c r="B350" s="9" t="s">
        <v>32</v>
      </c>
      <c r="C350" s="9" t="str">
        <f>"23/13"</f>
        <v>23/13</v>
      </c>
      <c r="D350" s="27"/>
      <c r="E350" s="5"/>
      <c r="F350" s="5"/>
      <c r="G350" s="5"/>
      <c r="H350" s="2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11"/>
      <c r="AD350" s="5"/>
      <c r="AE350" s="5"/>
      <c r="AF350" s="5"/>
      <c r="AG350" s="5"/>
      <c r="AH350" s="5"/>
      <c r="AI350" s="5"/>
      <c r="AJ350" s="5"/>
      <c r="AK350" s="5"/>
      <c r="AL350" s="5"/>
      <c r="AM350" s="22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>
        <f t="shared" si="10"/>
        <v>0</v>
      </c>
      <c r="BJ350" s="27"/>
      <c r="BK350" s="5"/>
    </row>
    <row r="351" spans="2:65" s="8" customFormat="1" ht="11.25" hidden="1">
      <c r="B351" s="9" t="s">
        <v>32</v>
      </c>
      <c r="C351" s="20">
        <v>14</v>
      </c>
      <c r="D351" s="27"/>
      <c r="E351" s="5"/>
      <c r="F351" s="5"/>
      <c r="G351" s="5"/>
      <c r="H351" s="2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11"/>
      <c r="AD351" s="5"/>
      <c r="AE351" s="5"/>
      <c r="AF351" s="5"/>
      <c r="AG351" s="5"/>
      <c r="AH351" s="5"/>
      <c r="AI351" s="5"/>
      <c r="AJ351" s="5"/>
      <c r="AK351" s="5"/>
      <c r="AL351" s="5"/>
      <c r="AM351" s="22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>
        <f t="shared" si="10"/>
        <v>0</v>
      </c>
      <c r="BJ351" s="27"/>
      <c r="BK351" s="5"/>
      <c r="BM351" s="9"/>
    </row>
    <row r="352" spans="2:63" s="9" customFormat="1" ht="11.25" hidden="1">
      <c r="B352" s="9" t="s">
        <v>32</v>
      </c>
      <c r="D352" s="27"/>
      <c r="E352" s="4"/>
      <c r="F352" s="4"/>
      <c r="G352" s="4"/>
      <c r="H352" s="22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10"/>
      <c r="AD352" s="4"/>
      <c r="AE352" s="4"/>
      <c r="AF352" s="4"/>
      <c r="AG352" s="4"/>
      <c r="AH352" s="4"/>
      <c r="AI352" s="4"/>
      <c r="AJ352" s="4"/>
      <c r="AK352" s="4"/>
      <c r="AL352" s="4"/>
      <c r="AM352" s="22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5">
        <f t="shared" si="10"/>
        <v>0</v>
      </c>
      <c r="BJ352" s="27"/>
      <c r="BK352" s="4"/>
    </row>
    <row r="353" spans="2:63" s="9" customFormat="1" ht="11.25" hidden="1">
      <c r="B353" s="9" t="s">
        <v>32</v>
      </c>
      <c r="D353" s="27"/>
      <c r="E353" s="4"/>
      <c r="F353" s="4"/>
      <c r="G353" s="4"/>
      <c r="H353" s="22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10"/>
      <c r="AD353" s="4"/>
      <c r="AE353" s="4"/>
      <c r="AF353" s="4"/>
      <c r="AG353" s="4"/>
      <c r="AH353" s="4"/>
      <c r="AI353" s="4"/>
      <c r="AJ353" s="4"/>
      <c r="AK353" s="4"/>
      <c r="AL353" s="4"/>
      <c r="AM353" s="22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5">
        <f t="shared" si="10"/>
        <v>0</v>
      </c>
      <c r="BJ353" s="27"/>
      <c r="BK353" s="4"/>
    </row>
    <row r="354" spans="2:63" s="9" customFormat="1" ht="11.25" hidden="1">
      <c r="B354" s="9" t="s">
        <v>32</v>
      </c>
      <c r="D354" s="27"/>
      <c r="E354" s="4"/>
      <c r="F354" s="4"/>
      <c r="G354" s="4"/>
      <c r="H354" s="22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10"/>
      <c r="AD354" s="4"/>
      <c r="AE354" s="4"/>
      <c r="AF354" s="4"/>
      <c r="AG354" s="4"/>
      <c r="AH354" s="4"/>
      <c r="AI354" s="4"/>
      <c r="AJ354" s="4"/>
      <c r="AK354" s="4"/>
      <c r="AL354" s="4"/>
      <c r="AM354" s="22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5">
        <f t="shared" si="10"/>
        <v>0</v>
      </c>
      <c r="BJ354" s="27"/>
      <c r="BK354" s="4"/>
    </row>
    <row r="355" spans="2:63" s="9" customFormat="1" ht="11.25" hidden="1">
      <c r="B355" s="9" t="s">
        <v>32</v>
      </c>
      <c r="C355" s="9" t="str">
        <f>"A/4 25X4"</f>
        <v>A/4 25X4</v>
      </c>
      <c r="D355" s="27"/>
      <c r="E355" s="4"/>
      <c r="F355" s="4"/>
      <c r="G355" s="4"/>
      <c r="H355" s="22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10"/>
      <c r="AD355" s="4"/>
      <c r="AE355" s="4"/>
      <c r="AF355" s="4"/>
      <c r="AG355" s="4"/>
      <c r="AH355" s="4"/>
      <c r="AI355" s="4"/>
      <c r="AJ355" s="4"/>
      <c r="AK355" s="4"/>
      <c r="AL355" s="4"/>
      <c r="AM355" s="22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5">
        <f t="shared" si="10"/>
        <v>0</v>
      </c>
      <c r="BJ355" s="27"/>
      <c r="BK355" s="4"/>
    </row>
    <row r="356" spans="2:63" s="9" customFormat="1" ht="11.25" hidden="1">
      <c r="B356" s="9" t="s">
        <v>32</v>
      </c>
      <c r="C356" s="9" t="str">
        <f>"25X2 V.VÁLL 71/V"</f>
        <v>25X2 V.VÁLL 71/V</v>
      </c>
      <c r="D356" s="27"/>
      <c r="E356" s="4"/>
      <c r="F356" s="4"/>
      <c r="G356" s="4"/>
      <c r="H356" s="22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10"/>
      <c r="AD356" s="4"/>
      <c r="AE356" s="4"/>
      <c r="AF356" s="4"/>
      <c r="AG356" s="4"/>
      <c r="AH356" s="4"/>
      <c r="AI356" s="4"/>
      <c r="AJ356" s="4"/>
      <c r="AK356" s="4"/>
      <c r="AL356" s="4"/>
      <c r="AM356" s="22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5">
        <f t="shared" si="10"/>
        <v>0</v>
      </c>
      <c r="BJ356" s="27"/>
      <c r="BK356" s="4"/>
    </row>
    <row r="357" spans="2:63" s="9" customFormat="1" ht="11.25" hidden="1">
      <c r="B357" s="9" t="s">
        <v>32</v>
      </c>
      <c r="C357" s="9" t="str">
        <f>"PÁTRIA (C.3337-11)"</f>
        <v>PÁTRIA (C.3337-11)</v>
      </c>
      <c r="D357" s="27"/>
      <c r="E357" s="4"/>
      <c r="F357" s="4"/>
      <c r="G357" s="4"/>
      <c r="H357" s="22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10"/>
      <c r="AD357" s="4"/>
      <c r="AE357" s="4"/>
      <c r="AF357" s="4"/>
      <c r="AG357" s="4"/>
      <c r="AH357" s="4"/>
      <c r="AI357" s="4"/>
      <c r="AJ357" s="4"/>
      <c r="AK357" s="4"/>
      <c r="AL357" s="4"/>
      <c r="AM357" s="22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5">
        <f t="shared" si="10"/>
        <v>0</v>
      </c>
      <c r="BJ357" s="27"/>
      <c r="BK357" s="4"/>
    </row>
    <row r="358" spans="2:63" s="9" customFormat="1" ht="11.25" hidden="1">
      <c r="B358" s="9" t="s">
        <v>32</v>
      </c>
      <c r="D358" s="27"/>
      <c r="E358" s="4"/>
      <c r="F358" s="4"/>
      <c r="G358" s="4"/>
      <c r="H358" s="22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10"/>
      <c r="AD358" s="4"/>
      <c r="AE358" s="4"/>
      <c r="AF358" s="4"/>
      <c r="AG358" s="4"/>
      <c r="AH358" s="4"/>
      <c r="AI358" s="4"/>
      <c r="AJ358" s="4"/>
      <c r="AK358" s="4"/>
      <c r="AL358" s="4"/>
      <c r="AM358" s="22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5">
        <f t="shared" si="10"/>
        <v>0</v>
      </c>
      <c r="BJ358" s="27"/>
      <c r="BK358" s="4"/>
    </row>
    <row r="359" spans="2:63" s="9" customFormat="1" ht="11.25" hidden="1">
      <c r="B359" s="9" t="s">
        <v>32</v>
      </c>
      <c r="C359" s="9" t="str">
        <f>"A/4"</f>
        <v>A/4</v>
      </c>
      <c r="D359" s="27"/>
      <c r="E359" s="4"/>
      <c r="F359" s="4"/>
      <c r="G359" s="4"/>
      <c r="H359" s="22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10"/>
      <c r="AD359" s="4"/>
      <c r="AE359" s="4"/>
      <c r="AF359" s="4"/>
      <c r="AG359" s="4"/>
      <c r="AH359" s="4"/>
      <c r="AI359" s="4"/>
      <c r="AJ359" s="4"/>
      <c r="AK359" s="4"/>
      <c r="AL359" s="4"/>
      <c r="AM359" s="22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5">
        <f t="shared" si="10"/>
        <v>0</v>
      </c>
      <c r="BJ359" s="27"/>
      <c r="BK359" s="4"/>
    </row>
    <row r="360" spans="2:63" s="9" customFormat="1" ht="11.25" hidden="1">
      <c r="B360" s="9" t="s">
        <v>32</v>
      </c>
      <c r="C360" s="9" t="str">
        <f>"DVV.1250/ÚJ A/5"</f>
        <v>DVV.1250/ÚJ A/5</v>
      </c>
      <c r="D360" s="27"/>
      <c r="E360" s="4"/>
      <c r="F360" s="4"/>
      <c r="G360" s="4"/>
      <c r="H360" s="22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10"/>
      <c r="AD360" s="4"/>
      <c r="AE360" s="4"/>
      <c r="AF360" s="4"/>
      <c r="AG360" s="4"/>
      <c r="AH360" s="4"/>
      <c r="AI360" s="4"/>
      <c r="AJ360" s="4"/>
      <c r="AK360" s="4"/>
      <c r="AL360" s="4"/>
      <c r="AM360" s="22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5">
        <f t="shared" si="10"/>
        <v>0</v>
      </c>
      <c r="BJ360" s="27"/>
      <c r="BK360" s="4"/>
    </row>
    <row r="361" spans="2:63" s="9" customFormat="1" ht="11.25" hidden="1">
      <c r="B361" s="9" t="s">
        <v>32</v>
      </c>
      <c r="C361" s="9" t="s">
        <v>1</v>
      </c>
      <c r="D361" s="27"/>
      <c r="E361" s="4"/>
      <c r="F361" s="4"/>
      <c r="G361" s="4"/>
      <c r="H361" s="22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10"/>
      <c r="AD361" s="4"/>
      <c r="AE361" s="4"/>
      <c r="AF361" s="4"/>
      <c r="AG361" s="4"/>
      <c r="AH361" s="4"/>
      <c r="AI361" s="4"/>
      <c r="AJ361" s="4"/>
      <c r="AK361" s="4"/>
      <c r="AL361" s="4"/>
      <c r="AM361" s="22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5">
        <f t="shared" si="10"/>
        <v>0</v>
      </c>
      <c r="BJ361" s="27"/>
      <c r="BK361" s="4"/>
    </row>
    <row r="362" spans="2:63" s="9" customFormat="1" ht="11.25" hidden="1">
      <c r="B362" s="9" t="s">
        <v>32</v>
      </c>
      <c r="D362" s="27"/>
      <c r="E362" s="4"/>
      <c r="F362" s="4"/>
      <c r="G362" s="4"/>
      <c r="H362" s="22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10"/>
      <c r="AD362" s="4"/>
      <c r="AE362" s="4"/>
      <c r="AF362" s="4"/>
      <c r="AG362" s="4"/>
      <c r="AH362" s="4"/>
      <c r="AI362" s="4"/>
      <c r="AJ362" s="4"/>
      <c r="AK362" s="4"/>
      <c r="AL362" s="4"/>
      <c r="AM362" s="22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5">
        <f t="shared" si="10"/>
        <v>0</v>
      </c>
      <c r="BJ362" s="27"/>
      <c r="BK362" s="4"/>
    </row>
    <row r="363" spans="1:63" s="9" customFormat="1" ht="11.25">
      <c r="A363" s="9" t="s">
        <v>287</v>
      </c>
      <c r="B363" s="9" t="s">
        <v>48</v>
      </c>
      <c r="C363" s="9" t="s">
        <v>82</v>
      </c>
      <c r="D363" s="27" t="s">
        <v>26</v>
      </c>
      <c r="E363" s="4"/>
      <c r="F363" s="4"/>
      <c r="G363" s="4"/>
      <c r="H363" s="22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>
        <v>1</v>
      </c>
      <c r="AA363" s="4"/>
      <c r="AB363" s="4"/>
      <c r="AC363" s="10"/>
      <c r="AD363" s="4"/>
      <c r="AE363" s="4"/>
      <c r="AF363" s="4"/>
      <c r="AG363" s="4"/>
      <c r="AH363" s="4"/>
      <c r="AI363" s="4"/>
      <c r="AJ363" s="4"/>
      <c r="AK363" s="4"/>
      <c r="AL363" s="4"/>
      <c r="AM363" s="22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>
        <v>1</v>
      </c>
      <c r="BE363" s="4"/>
      <c r="BF363" s="4"/>
      <c r="BG363" s="4"/>
      <c r="BH363" s="4"/>
      <c r="BI363" s="5">
        <f t="shared" si="10"/>
        <v>2</v>
      </c>
      <c r="BJ363" s="27" t="s">
        <v>26</v>
      </c>
      <c r="BK363" s="4"/>
    </row>
    <row r="364" spans="1:63" s="9" customFormat="1" ht="11.25">
      <c r="A364" s="9" t="s">
        <v>288</v>
      </c>
      <c r="B364" s="9" t="s">
        <v>48</v>
      </c>
      <c r="C364" s="9" t="s">
        <v>49</v>
      </c>
      <c r="D364" s="27" t="s">
        <v>26</v>
      </c>
      <c r="E364" s="4"/>
      <c r="F364" s="4"/>
      <c r="G364" s="4"/>
      <c r="H364" s="22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>
        <v>1</v>
      </c>
      <c r="AA364" s="4"/>
      <c r="AB364" s="4"/>
      <c r="AC364" s="10"/>
      <c r="AD364" s="4"/>
      <c r="AE364" s="4"/>
      <c r="AF364" s="4"/>
      <c r="AG364" s="4"/>
      <c r="AH364" s="4"/>
      <c r="AI364" s="4"/>
      <c r="AJ364" s="4"/>
      <c r="AK364" s="4"/>
      <c r="AL364" s="4"/>
      <c r="AM364" s="22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>
        <v>1</v>
      </c>
      <c r="BE364" s="4"/>
      <c r="BF364" s="4"/>
      <c r="BG364" s="4"/>
      <c r="BH364" s="4"/>
      <c r="BI364" s="5">
        <f t="shared" si="10"/>
        <v>2</v>
      </c>
      <c r="BJ364" s="27" t="s">
        <v>26</v>
      </c>
      <c r="BK364" s="4"/>
    </row>
    <row r="365" spans="1:63" s="8" customFormat="1" ht="11.25">
      <c r="A365" s="8" t="s">
        <v>289</v>
      </c>
      <c r="B365" s="9" t="s">
        <v>63</v>
      </c>
      <c r="C365" s="9" t="s">
        <v>65</v>
      </c>
      <c r="D365" s="27" t="s">
        <v>26</v>
      </c>
      <c r="E365" s="5">
        <v>2</v>
      </c>
      <c r="F365" s="5">
        <v>2</v>
      </c>
      <c r="G365" s="5">
        <v>5</v>
      </c>
      <c r="H365" s="22">
        <v>1</v>
      </c>
      <c r="I365" s="5"/>
      <c r="J365" s="5"/>
      <c r="K365" s="5"/>
      <c r="L365" s="5">
        <v>1</v>
      </c>
      <c r="M365" s="5"/>
      <c r="N365" s="5">
        <v>2</v>
      </c>
      <c r="O365" s="4"/>
      <c r="P365" s="5"/>
      <c r="Q365" s="5"/>
      <c r="R365" s="5"/>
      <c r="S365" s="4"/>
      <c r="T365" s="4"/>
      <c r="U365" s="4"/>
      <c r="V365" s="4"/>
      <c r="W365" s="5"/>
      <c r="X365" s="5"/>
      <c r="Y365" s="4"/>
      <c r="Z365" s="4"/>
      <c r="AA365" s="4"/>
      <c r="AB365" s="4"/>
      <c r="AC365" s="10"/>
      <c r="AD365" s="4"/>
      <c r="AE365" s="4"/>
      <c r="AF365" s="4"/>
      <c r="AG365" s="4"/>
      <c r="AH365" s="4"/>
      <c r="AI365" s="4"/>
      <c r="AJ365" s="4"/>
      <c r="AK365" s="4"/>
      <c r="AL365" s="5"/>
      <c r="AM365" s="22"/>
      <c r="AN365" s="5"/>
      <c r="AO365" s="5"/>
      <c r="AP365" s="5"/>
      <c r="AQ365" s="5"/>
      <c r="AR365" s="5">
        <v>1</v>
      </c>
      <c r="AS365" s="5">
        <v>1</v>
      </c>
      <c r="AT365" s="5"/>
      <c r="AU365" s="5"/>
      <c r="AV365" s="5">
        <v>1</v>
      </c>
      <c r="AW365" s="5"/>
      <c r="AX365" s="5"/>
      <c r="AY365" s="5"/>
      <c r="AZ365" s="5"/>
      <c r="BA365" s="5"/>
      <c r="BB365" s="5"/>
      <c r="BC365" s="5"/>
      <c r="BD365" s="5"/>
      <c r="BE365" s="5">
        <v>3</v>
      </c>
      <c r="BF365" s="5"/>
      <c r="BG365" s="5"/>
      <c r="BH365" s="5"/>
      <c r="BI365" s="5">
        <f t="shared" si="10"/>
        <v>19</v>
      </c>
      <c r="BJ365" s="27" t="s">
        <v>26</v>
      </c>
      <c r="BK365" s="5"/>
    </row>
    <row r="366" spans="1:63" s="8" customFormat="1" ht="11.25">
      <c r="A366" s="8" t="s">
        <v>290</v>
      </c>
      <c r="B366" s="9" t="s">
        <v>63</v>
      </c>
      <c r="C366" s="9" t="s">
        <v>67</v>
      </c>
      <c r="D366" s="27" t="s">
        <v>26</v>
      </c>
      <c r="E366" s="5">
        <v>2</v>
      </c>
      <c r="F366" s="5">
        <v>2</v>
      </c>
      <c r="G366" s="5">
        <v>5</v>
      </c>
      <c r="H366" s="22"/>
      <c r="I366" s="5"/>
      <c r="J366" s="5"/>
      <c r="K366" s="5"/>
      <c r="L366" s="5">
        <v>1</v>
      </c>
      <c r="M366" s="5"/>
      <c r="N366" s="5"/>
      <c r="O366" s="4"/>
      <c r="P366" s="5"/>
      <c r="Q366" s="5"/>
      <c r="R366" s="5"/>
      <c r="S366" s="4"/>
      <c r="T366" s="4"/>
      <c r="U366" s="4"/>
      <c r="V366" s="4"/>
      <c r="W366" s="5"/>
      <c r="X366" s="5"/>
      <c r="Y366" s="4"/>
      <c r="Z366" s="4"/>
      <c r="AA366" s="4"/>
      <c r="AB366" s="4"/>
      <c r="AC366" s="10"/>
      <c r="AD366" s="4"/>
      <c r="AE366" s="4"/>
      <c r="AF366" s="4"/>
      <c r="AG366" s="4"/>
      <c r="AH366" s="4"/>
      <c r="AI366" s="4"/>
      <c r="AJ366" s="4"/>
      <c r="AK366" s="4"/>
      <c r="AL366" s="5"/>
      <c r="AM366" s="22"/>
      <c r="AN366" s="5"/>
      <c r="AO366" s="5"/>
      <c r="AP366" s="5"/>
      <c r="AQ366" s="5"/>
      <c r="AR366" s="5"/>
      <c r="AS366" s="5">
        <v>1</v>
      </c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>
        <f t="shared" si="10"/>
        <v>11</v>
      </c>
      <c r="BJ366" s="27" t="s">
        <v>26</v>
      </c>
      <c r="BK366" s="5"/>
    </row>
    <row r="367" spans="1:63" s="8" customFormat="1" ht="11.25">
      <c r="A367" s="8" t="s">
        <v>291</v>
      </c>
      <c r="B367" s="9" t="s">
        <v>63</v>
      </c>
      <c r="C367" s="9" t="s">
        <v>66</v>
      </c>
      <c r="D367" s="27" t="s">
        <v>26</v>
      </c>
      <c r="E367" s="5">
        <v>2</v>
      </c>
      <c r="F367" s="5">
        <v>2</v>
      </c>
      <c r="G367" s="5">
        <v>5</v>
      </c>
      <c r="H367" s="22"/>
      <c r="I367" s="5"/>
      <c r="J367" s="5"/>
      <c r="K367" s="5"/>
      <c r="L367" s="5">
        <v>1</v>
      </c>
      <c r="M367" s="5"/>
      <c r="N367" s="5"/>
      <c r="O367" s="4"/>
      <c r="P367" s="5"/>
      <c r="Q367" s="5"/>
      <c r="R367" s="5"/>
      <c r="S367" s="4"/>
      <c r="T367" s="4"/>
      <c r="U367" s="4"/>
      <c r="V367" s="4"/>
      <c r="W367" s="5"/>
      <c r="X367" s="5"/>
      <c r="Y367" s="4"/>
      <c r="Z367" s="4"/>
      <c r="AA367" s="4"/>
      <c r="AB367" s="4"/>
      <c r="AC367" s="10"/>
      <c r="AD367" s="4"/>
      <c r="AE367" s="4"/>
      <c r="AF367" s="4"/>
      <c r="AG367" s="4"/>
      <c r="AH367" s="4"/>
      <c r="AI367" s="4"/>
      <c r="AJ367" s="4"/>
      <c r="AK367" s="4"/>
      <c r="AL367" s="5"/>
      <c r="AM367" s="22"/>
      <c r="AN367" s="5"/>
      <c r="AO367" s="5"/>
      <c r="AP367" s="5"/>
      <c r="AQ367" s="5"/>
      <c r="AR367" s="5"/>
      <c r="AS367" s="5">
        <v>1</v>
      </c>
      <c r="AT367" s="5"/>
      <c r="AU367" s="5"/>
      <c r="AV367" s="5">
        <v>1</v>
      </c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>
        <f t="shared" si="10"/>
        <v>12</v>
      </c>
      <c r="BJ367" s="27" t="s">
        <v>26</v>
      </c>
      <c r="BK367" s="5"/>
    </row>
    <row r="368" spans="1:63" s="8" customFormat="1" ht="11.25">
      <c r="A368" s="8" t="s">
        <v>292</v>
      </c>
      <c r="B368" s="9" t="s">
        <v>63</v>
      </c>
      <c r="C368" s="9" t="s">
        <v>64</v>
      </c>
      <c r="D368" s="27" t="s">
        <v>26</v>
      </c>
      <c r="E368" s="5">
        <v>2</v>
      </c>
      <c r="F368" s="5"/>
      <c r="G368" s="5"/>
      <c r="H368" s="22"/>
      <c r="I368" s="5"/>
      <c r="J368" s="5"/>
      <c r="K368" s="5"/>
      <c r="L368" s="5">
        <v>1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11"/>
      <c r="AD368" s="5"/>
      <c r="AE368" s="5"/>
      <c r="AF368" s="5"/>
      <c r="AG368" s="5"/>
      <c r="AH368" s="5"/>
      <c r="AI368" s="5"/>
      <c r="AJ368" s="5"/>
      <c r="AK368" s="5"/>
      <c r="AL368" s="5"/>
      <c r="AM368" s="22"/>
      <c r="AN368" s="5"/>
      <c r="AO368" s="5"/>
      <c r="AP368" s="5"/>
      <c r="AQ368" s="5"/>
      <c r="AR368" s="5"/>
      <c r="AS368" s="5">
        <v>1</v>
      </c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>
        <f t="shared" si="10"/>
        <v>4</v>
      </c>
      <c r="BJ368" s="27" t="s">
        <v>26</v>
      </c>
      <c r="BK368" s="5"/>
    </row>
    <row r="369" spans="1:63" s="8" customFormat="1" ht="11.25">
      <c r="A369" s="8" t="s">
        <v>293</v>
      </c>
      <c r="B369" s="9" t="s">
        <v>63</v>
      </c>
      <c r="C369" s="9" t="s">
        <v>69</v>
      </c>
      <c r="D369" s="27" t="s">
        <v>26</v>
      </c>
      <c r="E369" s="5">
        <v>1</v>
      </c>
      <c r="F369" s="5"/>
      <c r="G369" s="5"/>
      <c r="H369" s="22"/>
      <c r="I369" s="5"/>
      <c r="J369" s="5"/>
      <c r="K369" s="5">
        <v>1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11"/>
      <c r="AD369" s="5"/>
      <c r="AE369" s="5"/>
      <c r="AF369" s="5"/>
      <c r="AG369" s="5"/>
      <c r="AH369" s="5"/>
      <c r="AI369" s="5"/>
      <c r="AJ369" s="5"/>
      <c r="AK369" s="5"/>
      <c r="AL369" s="5"/>
      <c r="AM369" s="22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>
        <f t="shared" si="10"/>
        <v>2</v>
      </c>
      <c r="BJ369" s="27" t="s">
        <v>26</v>
      </c>
      <c r="BK369" s="5"/>
    </row>
    <row r="370" spans="1:63" s="8" customFormat="1" ht="11.25">
      <c r="A370" s="8" t="s">
        <v>294</v>
      </c>
      <c r="B370" s="9" t="s">
        <v>63</v>
      </c>
      <c r="C370" s="9" t="s">
        <v>71</v>
      </c>
      <c r="D370" s="27" t="s">
        <v>26</v>
      </c>
      <c r="E370" s="5">
        <v>1</v>
      </c>
      <c r="F370" s="5"/>
      <c r="G370" s="5"/>
      <c r="H370" s="22"/>
      <c r="I370" s="5"/>
      <c r="J370" s="5"/>
      <c r="K370" s="5">
        <v>1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11"/>
      <c r="AD370" s="5"/>
      <c r="AE370" s="5"/>
      <c r="AF370" s="5"/>
      <c r="AG370" s="5"/>
      <c r="AH370" s="5"/>
      <c r="AI370" s="5"/>
      <c r="AJ370" s="5"/>
      <c r="AK370" s="5"/>
      <c r="AL370" s="5"/>
      <c r="AM370" s="22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>
        <f t="shared" si="10"/>
        <v>2</v>
      </c>
      <c r="BJ370" s="27" t="s">
        <v>26</v>
      </c>
      <c r="BK370" s="5"/>
    </row>
    <row r="371" spans="1:63" s="8" customFormat="1" ht="11.25">
      <c r="A371" s="8" t="s">
        <v>295</v>
      </c>
      <c r="B371" s="9" t="s">
        <v>63</v>
      </c>
      <c r="C371" s="9" t="s">
        <v>70</v>
      </c>
      <c r="D371" s="27" t="s">
        <v>26</v>
      </c>
      <c r="E371" s="5">
        <v>1</v>
      </c>
      <c r="F371" s="5"/>
      <c r="G371" s="5"/>
      <c r="H371" s="22"/>
      <c r="I371" s="5"/>
      <c r="J371" s="5">
        <v>2</v>
      </c>
      <c r="K371" s="5">
        <v>1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11"/>
      <c r="AD371" s="5"/>
      <c r="AE371" s="5"/>
      <c r="AF371" s="5"/>
      <c r="AG371" s="5"/>
      <c r="AH371" s="5"/>
      <c r="AI371" s="5"/>
      <c r="AJ371" s="5"/>
      <c r="AK371" s="5"/>
      <c r="AL371" s="5"/>
      <c r="AM371" s="22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>
        <f t="shared" si="10"/>
        <v>4</v>
      </c>
      <c r="BJ371" s="27" t="s">
        <v>26</v>
      </c>
      <c r="BK371" s="5"/>
    </row>
    <row r="372" spans="1:63" s="8" customFormat="1" ht="11.25">
      <c r="A372" s="8" t="s">
        <v>296</v>
      </c>
      <c r="B372" s="9" t="s">
        <v>63</v>
      </c>
      <c r="C372" s="9" t="s">
        <v>68</v>
      </c>
      <c r="D372" s="27" t="s">
        <v>26</v>
      </c>
      <c r="E372" s="5">
        <v>1</v>
      </c>
      <c r="F372" s="5"/>
      <c r="G372" s="5"/>
      <c r="H372" s="22"/>
      <c r="I372" s="5"/>
      <c r="J372" s="5">
        <v>2</v>
      </c>
      <c r="K372" s="5">
        <v>1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11"/>
      <c r="AD372" s="5"/>
      <c r="AE372" s="5"/>
      <c r="AF372" s="5"/>
      <c r="AG372" s="5"/>
      <c r="AH372" s="5"/>
      <c r="AI372" s="5"/>
      <c r="AJ372" s="5"/>
      <c r="AK372" s="5"/>
      <c r="AL372" s="5"/>
      <c r="AM372" s="22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>
        <f t="shared" si="10"/>
        <v>4</v>
      </c>
      <c r="BJ372" s="27" t="s">
        <v>26</v>
      </c>
      <c r="BK372" s="5"/>
    </row>
    <row r="373" spans="1:63" s="9" customFormat="1" ht="11.25">
      <c r="A373" s="9" t="s">
        <v>297</v>
      </c>
      <c r="B373" s="9" t="s">
        <v>2</v>
      </c>
      <c r="C373" s="9" t="s">
        <v>3</v>
      </c>
      <c r="D373" s="27" t="s">
        <v>26</v>
      </c>
      <c r="E373" s="4">
        <v>15</v>
      </c>
      <c r="F373" s="4">
        <v>2</v>
      </c>
      <c r="G373" s="4">
        <v>10</v>
      </c>
      <c r="H373" s="22">
        <v>1</v>
      </c>
      <c r="I373" s="4"/>
      <c r="J373" s="4"/>
      <c r="K373" s="4"/>
      <c r="L373" s="4"/>
      <c r="M373" s="4"/>
      <c r="N373" s="4">
        <v>2</v>
      </c>
      <c r="O373" s="4"/>
      <c r="P373" s="4"/>
      <c r="Q373" s="4"/>
      <c r="R373" s="4"/>
      <c r="S373" s="4"/>
      <c r="T373" s="4"/>
      <c r="U373" s="4"/>
      <c r="V373" s="4">
        <v>1</v>
      </c>
      <c r="W373" s="4"/>
      <c r="X373" s="4"/>
      <c r="Y373" s="4"/>
      <c r="Z373" s="4"/>
      <c r="AA373" s="4"/>
      <c r="AB373" s="4"/>
      <c r="AC373" s="10"/>
      <c r="AD373" s="4"/>
      <c r="AE373" s="4"/>
      <c r="AF373" s="4"/>
      <c r="AG373" s="4"/>
      <c r="AH373" s="4"/>
      <c r="AI373" s="4"/>
      <c r="AJ373" s="4"/>
      <c r="AK373" s="4"/>
      <c r="AL373" s="4"/>
      <c r="AM373" s="22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5">
        <f t="shared" si="10"/>
        <v>31</v>
      </c>
      <c r="BJ373" s="27" t="s">
        <v>26</v>
      </c>
      <c r="BK373" s="4"/>
    </row>
    <row r="374" spans="1:63" s="9" customFormat="1" ht="11.25">
      <c r="A374" s="83" t="s">
        <v>298</v>
      </c>
      <c r="B374" s="28" t="s">
        <v>2</v>
      </c>
      <c r="C374" s="9" t="s">
        <v>6</v>
      </c>
      <c r="D374" s="27" t="s">
        <v>26</v>
      </c>
      <c r="E374" s="4">
        <v>10</v>
      </c>
      <c r="F374" s="4">
        <v>2</v>
      </c>
      <c r="G374" s="4">
        <v>5</v>
      </c>
      <c r="H374" s="22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10"/>
      <c r="AD374" s="4"/>
      <c r="AE374" s="4"/>
      <c r="AF374" s="4"/>
      <c r="AG374" s="4"/>
      <c r="AH374" s="4"/>
      <c r="AI374" s="4"/>
      <c r="AJ374" s="4"/>
      <c r="AK374" s="4"/>
      <c r="AL374" s="4"/>
      <c r="AM374" s="22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5">
        <f t="shared" si="10"/>
        <v>17</v>
      </c>
      <c r="BJ374" s="27" t="s">
        <v>26</v>
      </c>
      <c r="BK374" s="4"/>
    </row>
    <row r="375" spans="1:63" s="9" customFormat="1" ht="11.25">
      <c r="A375" s="9" t="s">
        <v>299</v>
      </c>
      <c r="B375" s="9" t="s">
        <v>2</v>
      </c>
      <c r="C375" s="9" t="s">
        <v>4</v>
      </c>
      <c r="D375" s="27" t="s">
        <v>26</v>
      </c>
      <c r="E375" s="4">
        <v>10</v>
      </c>
      <c r="F375" s="4">
        <v>2</v>
      </c>
      <c r="G375" s="4">
        <v>5</v>
      </c>
      <c r="H375" s="22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10"/>
      <c r="AD375" s="4"/>
      <c r="AE375" s="4"/>
      <c r="AF375" s="4"/>
      <c r="AG375" s="4"/>
      <c r="AH375" s="4"/>
      <c r="AI375" s="4"/>
      <c r="AJ375" s="4"/>
      <c r="AK375" s="4"/>
      <c r="AL375" s="4"/>
      <c r="AM375" s="22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5">
        <f t="shared" si="10"/>
        <v>17</v>
      </c>
      <c r="BJ375" s="27" t="s">
        <v>26</v>
      </c>
      <c r="BK375" s="4"/>
    </row>
    <row r="376" spans="1:63" s="9" customFormat="1" ht="11.25">
      <c r="A376" s="9" t="s">
        <v>300</v>
      </c>
      <c r="B376" s="9" t="s">
        <v>2</v>
      </c>
      <c r="C376" s="9" t="s">
        <v>100</v>
      </c>
      <c r="D376" s="27" t="s">
        <v>26</v>
      </c>
      <c r="E376" s="4"/>
      <c r="F376" s="4">
        <v>2</v>
      </c>
      <c r="G376" s="4">
        <v>5</v>
      </c>
      <c r="H376" s="22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>
        <v>1</v>
      </c>
      <c r="W376" s="4"/>
      <c r="X376" s="4"/>
      <c r="Y376" s="4"/>
      <c r="Z376" s="4">
        <v>1</v>
      </c>
      <c r="AA376" s="4"/>
      <c r="AB376" s="4"/>
      <c r="AC376" s="10"/>
      <c r="AD376" s="4"/>
      <c r="AE376" s="4"/>
      <c r="AF376" s="4"/>
      <c r="AG376" s="4"/>
      <c r="AH376" s="4"/>
      <c r="AI376" s="4"/>
      <c r="AJ376" s="4"/>
      <c r="AK376" s="4"/>
      <c r="AL376" s="4"/>
      <c r="AM376" s="22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>
        <v>1</v>
      </c>
      <c r="BD376" s="4"/>
      <c r="BE376" s="4"/>
      <c r="BF376" s="4"/>
      <c r="BG376" s="4"/>
      <c r="BH376" s="4"/>
      <c r="BI376" s="5">
        <f t="shared" si="10"/>
        <v>10</v>
      </c>
      <c r="BJ376" s="27" t="s">
        <v>26</v>
      </c>
      <c r="BK376" s="4"/>
    </row>
    <row r="377" spans="1:63" s="9" customFormat="1" ht="11.25">
      <c r="A377" s="9" t="s">
        <v>301</v>
      </c>
      <c r="B377" s="9" t="s">
        <v>2</v>
      </c>
      <c r="C377" s="9" t="s">
        <v>99</v>
      </c>
      <c r="D377" s="27" t="s">
        <v>26</v>
      </c>
      <c r="E377" s="4"/>
      <c r="F377" s="4"/>
      <c r="G377" s="4">
        <v>5</v>
      </c>
      <c r="H377" s="22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>
        <v>1</v>
      </c>
      <c r="AA377" s="4"/>
      <c r="AB377" s="4"/>
      <c r="AC377" s="10"/>
      <c r="AD377" s="4"/>
      <c r="AE377" s="4"/>
      <c r="AF377" s="4"/>
      <c r="AG377" s="4"/>
      <c r="AH377" s="4"/>
      <c r="AI377" s="4"/>
      <c r="AJ377" s="4"/>
      <c r="AK377" s="4"/>
      <c r="AL377" s="4"/>
      <c r="AM377" s="22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5">
        <f t="shared" si="10"/>
        <v>6</v>
      </c>
      <c r="BJ377" s="27" t="s">
        <v>26</v>
      </c>
      <c r="BK377" s="4"/>
    </row>
    <row r="378" spans="1:63" s="9" customFormat="1" ht="11.25">
      <c r="A378" s="9" t="s">
        <v>302</v>
      </c>
      <c r="B378" s="9" t="s">
        <v>173</v>
      </c>
      <c r="D378" s="27" t="s">
        <v>26</v>
      </c>
      <c r="E378" s="4"/>
      <c r="F378" s="4"/>
      <c r="G378" s="4"/>
      <c r="H378" s="22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10"/>
      <c r="AD378" s="4"/>
      <c r="AE378" s="4"/>
      <c r="AF378" s="4"/>
      <c r="AG378" s="4"/>
      <c r="AH378" s="4"/>
      <c r="AI378" s="4"/>
      <c r="AJ378" s="4"/>
      <c r="AK378" s="4"/>
      <c r="AL378" s="4"/>
      <c r="AM378" s="22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>
        <v>10</v>
      </c>
      <c r="BD378" s="4"/>
      <c r="BE378" s="4"/>
      <c r="BF378" s="4"/>
      <c r="BG378" s="4"/>
      <c r="BH378" s="4"/>
      <c r="BI378" s="5">
        <f t="shared" si="10"/>
        <v>10</v>
      </c>
      <c r="BJ378" s="27" t="s">
        <v>26</v>
      </c>
      <c r="BK378" s="4"/>
    </row>
    <row r="379" spans="1:63" s="9" customFormat="1" ht="11.25">
      <c r="A379" s="9" t="s">
        <v>303</v>
      </c>
      <c r="B379" s="9" t="s">
        <v>105</v>
      </c>
      <c r="C379" s="9" t="str">
        <f>"50X3 A/5"</f>
        <v>50X3 A/5</v>
      </c>
      <c r="D379" s="22" t="s">
        <v>27</v>
      </c>
      <c r="E379" s="4"/>
      <c r="F379" s="4">
        <v>1</v>
      </c>
      <c r="G379" s="4"/>
      <c r="H379" s="22"/>
      <c r="I379" s="4"/>
      <c r="J379" s="4"/>
      <c r="K379" s="4">
        <v>1</v>
      </c>
      <c r="L379" s="4">
        <v>1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10"/>
      <c r="AD379" s="4"/>
      <c r="AE379" s="4"/>
      <c r="AF379" s="4"/>
      <c r="AG379" s="4"/>
      <c r="AH379" s="4"/>
      <c r="AI379" s="4"/>
      <c r="AJ379" s="4"/>
      <c r="AK379" s="4"/>
      <c r="AL379" s="4"/>
      <c r="AM379" s="22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5">
        <f t="shared" si="10"/>
        <v>3</v>
      </c>
      <c r="BJ379" s="22" t="s">
        <v>27</v>
      </c>
      <c r="BK379" s="4"/>
    </row>
    <row r="380" spans="1:63" s="9" customFormat="1" ht="11.25">
      <c r="A380" s="9" t="s">
        <v>304</v>
      </c>
      <c r="B380" s="9" t="s">
        <v>128</v>
      </c>
      <c r="C380" s="9" t="s">
        <v>10</v>
      </c>
      <c r="D380" s="27" t="s">
        <v>26</v>
      </c>
      <c r="E380" s="4"/>
      <c r="F380" s="4"/>
      <c r="G380" s="4"/>
      <c r="H380" s="22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>
        <v>1</v>
      </c>
      <c r="AA380" s="4"/>
      <c r="AB380" s="4"/>
      <c r="AC380" s="10"/>
      <c r="AD380" s="4"/>
      <c r="AE380" s="4"/>
      <c r="AF380" s="4"/>
      <c r="AG380" s="4"/>
      <c r="AH380" s="4"/>
      <c r="AI380" s="4"/>
      <c r="AJ380" s="4"/>
      <c r="AK380" s="4"/>
      <c r="AL380" s="4"/>
      <c r="AM380" s="22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>
        <v>2</v>
      </c>
      <c r="BF380" s="4"/>
      <c r="BG380" s="4"/>
      <c r="BH380" s="4"/>
      <c r="BI380" s="5">
        <f t="shared" si="10"/>
        <v>3</v>
      </c>
      <c r="BJ380" s="27" t="s">
        <v>26</v>
      </c>
      <c r="BK380" s="4"/>
    </row>
    <row r="381" spans="1:65" s="9" customFormat="1" ht="11.25">
      <c r="A381" s="9" t="s">
        <v>305</v>
      </c>
      <c r="B381" s="9" t="s">
        <v>128</v>
      </c>
      <c r="C381" s="9" t="s">
        <v>11</v>
      </c>
      <c r="D381" s="27" t="s">
        <v>26</v>
      </c>
      <c r="E381" s="4"/>
      <c r="F381" s="4"/>
      <c r="G381" s="4"/>
      <c r="H381" s="22"/>
      <c r="I381" s="4"/>
      <c r="J381" s="4"/>
      <c r="K381" s="4"/>
      <c r="L381" s="4"/>
      <c r="M381" s="4"/>
      <c r="N381" s="4"/>
      <c r="O381" s="4"/>
      <c r="P381" s="4"/>
      <c r="Q381" s="4"/>
      <c r="R381" s="4">
        <v>1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10"/>
      <c r="AD381" s="4"/>
      <c r="AE381" s="4"/>
      <c r="AF381" s="4"/>
      <c r="AG381" s="4"/>
      <c r="AH381" s="4"/>
      <c r="AI381" s="4"/>
      <c r="AJ381" s="4"/>
      <c r="AK381" s="4"/>
      <c r="AL381" s="4"/>
      <c r="AM381" s="22"/>
      <c r="AN381" s="4"/>
      <c r="AO381" s="4"/>
      <c r="AP381" s="4"/>
      <c r="AQ381" s="4"/>
      <c r="AR381" s="4">
        <v>1</v>
      </c>
      <c r="AS381" s="4">
        <v>1</v>
      </c>
      <c r="AT381" s="4"/>
      <c r="AU381" s="4">
        <v>1</v>
      </c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5">
        <f t="shared" si="10"/>
        <v>4</v>
      </c>
      <c r="BJ381" s="27" t="s">
        <v>26</v>
      </c>
      <c r="BK381" s="4"/>
      <c r="BM381" s="8"/>
    </row>
    <row r="382" spans="1:63" s="9" customFormat="1" ht="11.25">
      <c r="A382" s="9" t="s">
        <v>306</v>
      </c>
      <c r="B382" s="9" t="s">
        <v>128</v>
      </c>
      <c r="C382" s="9" t="s">
        <v>9</v>
      </c>
      <c r="D382" s="27" t="s">
        <v>26</v>
      </c>
      <c r="E382" s="4"/>
      <c r="F382" s="4"/>
      <c r="G382" s="4"/>
      <c r="H382" s="22"/>
      <c r="I382" s="4"/>
      <c r="J382" s="4"/>
      <c r="K382" s="4"/>
      <c r="L382" s="4"/>
      <c r="M382" s="4"/>
      <c r="N382" s="4"/>
      <c r="O382" s="4"/>
      <c r="P382" s="4"/>
      <c r="Q382" s="4"/>
      <c r="R382" s="4">
        <v>1</v>
      </c>
      <c r="S382" s="4"/>
      <c r="T382" s="4"/>
      <c r="U382" s="4"/>
      <c r="V382" s="4"/>
      <c r="W382" s="4"/>
      <c r="X382" s="4"/>
      <c r="Y382" s="4"/>
      <c r="Z382" s="4"/>
      <c r="AA382" s="4"/>
      <c r="AB382" s="4">
        <v>1</v>
      </c>
      <c r="AC382" s="10"/>
      <c r="AD382" s="4"/>
      <c r="AE382" s="4"/>
      <c r="AF382" s="4"/>
      <c r="AG382" s="4"/>
      <c r="AH382" s="4"/>
      <c r="AI382" s="4"/>
      <c r="AJ382" s="4"/>
      <c r="AK382" s="4"/>
      <c r="AL382" s="4"/>
      <c r="AM382" s="22"/>
      <c r="AN382" s="4"/>
      <c r="AO382" s="4"/>
      <c r="AP382" s="4"/>
      <c r="AQ382" s="4"/>
      <c r="AR382" s="4"/>
      <c r="AS382" s="4"/>
      <c r="AT382" s="4"/>
      <c r="AU382" s="4">
        <v>1</v>
      </c>
      <c r="AV382" s="4">
        <v>1</v>
      </c>
      <c r="AW382" s="4">
        <v>1</v>
      </c>
      <c r="AX382" s="4">
        <v>1</v>
      </c>
      <c r="AY382" s="4"/>
      <c r="AZ382" s="4"/>
      <c r="BA382" s="4"/>
      <c r="BB382" s="4"/>
      <c r="BC382" s="4"/>
      <c r="BD382" s="4"/>
      <c r="BE382" s="4">
        <v>2</v>
      </c>
      <c r="BF382" s="4"/>
      <c r="BG382" s="4"/>
      <c r="BH382" s="4"/>
      <c r="BI382" s="5">
        <f t="shared" si="10"/>
        <v>8</v>
      </c>
      <c r="BJ382" s="27" t="s">
        <v>26</v>
      </c>
      <c r="BK382" s="4"/>
    </row>
    <row r="383" spans="1:63" s="8" customFormat="1" ht="11.25">
      <c r="A383" s="8" t="s">
        <v>307</v>
      </c>
      <c r="B383" s="9" t="str">
        <f>"TÉPŐTÖMB (FEHÉR)"</f>
        <v>TÉPŐTÖMB (FEHÉR)</v>
      </c>
      <c r="C383" s="9" t="str">
        <f>"100X100 MM"</f>
        <v>100X100 MM</v>
      </c>
      <c r="D383" s="27" t="s">
        <v>26</v>
      </c>
      <c r="E383" s="5">
        <v>2</v>
      </c>
      <c r="F383" s="5">
        <v>5</v>
      </c>
      <c r="G383" s="5"/>
      <c r="H383" s="22"/>
      <c r="I383" s="5"/>
      <c r="J383" s="5"/>
      <c r="K383" s="5">
        <v>1</v>
      </c>
      <c r="L383" s="5">
        <v>1</v>
      </c>
      <c r="M383" s="5"/>
      <c r="N383" s="5"/>
      <c r="O383" s="5"/>
      <c r="P383" s="5"/>
      <c r="Q383" s="5">
        <v>2</v>
      </c>
      <c r="R383" s="5">
        <v>1</v>
      </c>
      <c r="S383" s="5"/>
      <c r="T383" s="5"/>
      <c r="U383" s="5"/>
      <c r="V383" s="5"/>
      <c r="W383" s="5"/>
      <c r="X383" s="5"/>
      <c r="Y383" s="5"/>
      <c r="Z383" s="5"/>
      <c r="AA383" s="5"/>
      <c r="AB383" s="5">
        <v>1</v>
      </c>
      <c r="AC383" s="11"/>
      <c r="AD383" s="5"/>
      <c r="AE383" s="5"/>
      <c r="AF383" s="5"/>
      <c r="AG383" s="5"/>
      <c r="AH383" s="5"/>
      <c r="AI383" s="5"/>
      <c r="AJ383" s="5"/>
      <c r="AK383" s="5"/>
      <c r="AL383" s="5"/>
      <c r="AM383" s="22"/>
      <c r="AN383" s="5"/>
      <c r="AO383" s="5"/>
      <c r="AP383" s="5"/>
      <c r="AQ383" s="5"/>
      <c r="AR383" s="5"/>
      <c r="AS383" s="5"/>
      <c r="AT383" s="5"/>
      <c r="AU383" s="5"/>
      <c r="AV383" s="5">
        <v>1</v>
      </c>
      <c r="AW383" s="5"/>
      <c r="AX383" s="5"/>
      <c r="AY383" s="5"/>
      <c r="AZ383" s="5"/>
      <c r="BA383" s="5"/>
      <c r="BB383" s="5"/>
      <c r="BC383" s="5"/>
      <c r="BD383" s="5"/>
      <c r="BE383" s="5">
        <v>1</v>
      </c>
      <c r="BF383" s="5"/>
      <c r="BG383" s="5"/>
      <c r="BH383" s="5"/>
      <c r="BI383" s="5">
        <f t="shared" si="10"/>
        <v>15</v>
      </c>
      <c r="BJ383" s="27" t="s">
        <v>26</v>
      </c>
      <c r="BK383" s="5"/>
    </row>
    <row r="384" spans="1:63" s="8" customFormat="1" ht="11.25">
      <c r="A384" s="8" t="s">
        <v>308</v>
      </c>
      <c r="B384" s="9" t="s">
        <v>21</v>
      </c>
      <c r="C384" s="9" t="str">
        <f>"050X040 MM"</f>
        <v>050X040 MM</v>
      </c>
      <c r="D384" s="27" t="s">
        <v>26</v>
      </c>
      <c r="E384" s="5">
        <v>5</v>
      </c>
      <c r="F384" s="5"/>
      <c r="G384" s="5"/>
      <c r="H384" s="22"/>
      <c r="I384" s="5"/>
      <c r="J384" s="5"/>
      <c r="K384" s="5"/>
      <c r="L384" s="5"/>
      <c r="M384" s="5"/>
      <c r="N384" s="5">
        <v>2</v>
      </c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11"/>
      <c r="AD384" s="5"/>
      <c r="AE384" s="5"/>
      <c r="AF384" s="5"/>
      <c r="AG384" s="5"/>
      <c r="AH384" s="5"/>
      <c r="AI384" s="5"/>
      <c r="AJ384" s="5"/>
      <c r="AK384" s="5"/>
      <c r="AL384" s="5"/>
      <c r="AM384" s="22"/>
      <c r="AN384" s="5"/>
      <c r="AO384" s="5"/>
      <c r="AP384" s="5"/>
      <c r="AQ384" s="5"/>
      <c r="AR384" s="5"/>
      <c r="AS384" s="5">
        <v>1</v>
      </c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>
        <v>3</v>
      </c>
      <c r="BF384" s="5"/>
      <c r="BG384" s="5"/>
      <c r="BH384" s="5"/>
      <c r="BI384" s="5">
        <f t="shared" si="10"/>
        <v>11</v>
      </c>
      <c r="BJ384" s="27" t="s">
        <v>26</v>
      </c>
      <c r="BK384" s="5"/>
    </row>
    <row r="385" spans="1:63" s="8" customFormat="1" ht="11.25">
      <c r="A385" s="8" t="s">
        <v>309</v>
      </c>
      <c r="B385" s="9" t="s">
        <v>21</v>
      </c>
      <c r="C385" s="9" t="str">
        <f>"075X075 MM"</f>
        <v>075X075 MM</v>
      </c>
      <c r="D385" s="27" t="s">
        <v>26</v>
      </c>
      <c r="E385" s="5">
        <v>5</v>
      </c>
      <c r="F385" s="5">
        <v>4</v>
      </c>
      <c r="G385" s="5"/>
      <c r="H385" s="22">
        <v>1</v>
      </c>
      <c r="I385" s="5">
        <v>4</v>
      </c>
      <c r="J385" s="5"/>
      <c r="K385" s="5"/>
      <c r="L385" s="5"/>
      <c r="M385" s="5"/>
      <c r="N385" s="5">
        <v>4</v>
      </c>
      <c r="O385" s="5"/>
      <c r="P385" s="5"/>
      <c r="Q385" s="5"/>
      <c r="R385" s="5"/>
      <c r="S385" s="5"/>
      <c r="T385" s="5"/>
      <c r="U385" s="5"/>
      <c r="V385" s="5">
        <v>4</v>
      </c>
      <c r="W385" s="5"/>
      <c r="X385" s="5"/>
      <c r="Y385" s="5"/>
      <c r="Z385" s="5"/>
      <c r="AA385" s="5"/>
      <c r="AB385" s="5"/>
      <c r="AC385" s="11"/>
      <c r="AD385" s="5"/>
      <c r="AE385" s="5"/>
      <c r="AF385" s="5"/>
      <c r="AG385" s="5"/>
      <c r="AH385" s="5"/>
      <c r="AI385" s="5"/>
      <c r="AJ385" s="5"/>
      <c r="AK385" s="5"/>
      <c r="AL385" s="5"/>
      <c r="AM385" s="22"/>
      <c r="AN385" s="5"/>
      <c r="AO385" s="5"/>
      <c r="AP385" s="5"/>
      <c r="AQ385" s="5"/>
      <c r="AR385" s="5">
        <v>1</v>
      </c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>
        <v>3</v>
      </c>
      <c r="BF385" s="5"/>
      <c r="BG385" s="5"/>
      <c r="BH385" s="5"/>
      <c r="BI385" s="5">
        <f t="shared" si="10"/>
        <v>26</v>
      </c>
      <c r="BJ385" s="27" t="s">
        <v>26</v>
      </c>
      <c r="BK385" s="5"/>
    </row>
    <row r="386" spans="1:63" s="8" customFormat="1" ht="11.25">
      <c r="A386" s="8" t="s">
        <v>310</v>
      </c>
      <c r="B386" s="9" t="s">
        <v>22</v>
      </c>
      <c r="C386" s="9" t="s">
        <v>75</v>
      </c>
      <c r="D386" s="27" t="s">
        <v>26</v>
      </c>
      <c r="E386" s="5"/>
      <c r="F386" s="5">
        <v>4</v>
      </c>
      <c r="G386" s="5"/>
      <c r="H386" s="22"/>
      <c r="I386" s="5"/>
      <c r="J386" s="5"/>
      <c r="K386" s="5"/>
      <c r="L386" s="5"/>
      <c r="M386" s="5"/>
      <c r="N386" s="5">
        <v>2</v>
      </c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11"/>
      <c r="AD386" s="5"/>
      <c r="AE386" s="5"/>
      <c r="AF386" s="5"/>
      <c r="AG386" s="5"/>
      <c r="AH386" s="5"/>
      <c r="AI386" s="5"/>
      <c r="AJ386" s="5"/>
      <c r="AK386" s="5"/>
      <c r="AL386" s="5"/>
      <c r="AM386" s="22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>
        <f t="shared" si="10"/>
        <v>6</v>
      </c>
      <c r="BJ386" s="27" t="s">
        <v>26</v>
      </c>
      <c r="BK386" s="5"/>
    </row>
    <row r="387" spans="1:63" s="8" customFormat="1" ht="11.25">
      <c r="A387" s="8" t="s">
        <v>311</v>
      </c>
      <c r="B387" s="9" t="s">
        <v>133</v>
      </c>
      <c r="C387" s="9" t="s">
        <v>73</v>
      </c>
      <c r="D387" s="27" t="s">
        <v>26</v>
      </c>
      <c r="E387" s="5"/>
      <c r="F387" s="5">
        <v>2</v>
      </c>
      <c r="G387" s="5">
        <v>2</v>
      </c>
      <c r="H387" s="2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11"/>
      <c r="AD387" s="5"/>
      <c r="AE387" s="5"/>
      <c r="AF387" s="5"/>
      <c r="AG387" s="5"/>
      <c r="AH387" s="5"/>
      <c r="AI387" s="5"/>
      <c r="AJ387" s="5"/>
      <c r="AK387" s="5"/>
      <c r="AL387" s="5"/>
      <c r="AM387" s="22"/>
      <c r="AN387" s="5"/>
      <c r="AO387" s="5"/>
      <c r="AP387" s="5"/>
      <c r="AQ387" s="5"/>
      <c r="AR387" s="5"/>
      <c r="AS387" s="5"/>
      <c r="AT387" s="5"/>
      <c r="AU387" s="5"/>
      <c r="AV387" s="5"/>
      <c r="AW387" s="5">
        <v>1</v>
      </c>
      <c r="AX387" s="5">
        <v>1</v>
      </c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>
        <f t="shared" si="10"/>
        <v>6</v>
      </c>
      <c r="BJ387" s="27" t="s">
        <v>26</v>
      </c>
      <c r="BK387" s="5"/>
    </row>
    <row r="388" spans="1:63" s="8" customFormat="1" ht="11.25">
      <c r="A388" s="8" t="s">
        <v>312</v>
      </c>
      <c r="B388" s="9" t="s">
        <v>114</v>
      </c>
      <c r="C388" s="9" t="s">
        <v>134</v>
      </c>
      <c r="D388" s="27" t="s">
        <v>26</v>
      </c>
      <c r="E388" s="5">
        <v>1</v>
      </c>
      <c r="F388" s="5"/>
      <c r="G388" s="5">
        <v>2</v>
      </c>
      <c r="H388" s="22"/>
      <c r="I388" s="5"/>
      <c r="J388" s="5"/>
      <c r="K388" s="5"/>
      <c r="L388" s="5"/>
      <c r="M388" s="5"/>
      <c r="N388" s="7"/>
      <c r="O388" s="5"/>
      <c r="P388" s="5"/>
      <c r="Q388" s="5"/>
      <c r="R388" s="5"/>
      <c r="S388" s="5"/>
      <c r="T388" s="5"/>
      <c r="U388" s="5"/>
      <c r="V388" s="5">
        <v>1</v>
      </c>
      <c r="W388" s="5"/>
      <c r="X388" s="5"/>
      <c r="Y388" s="5"/>
      <c r="Z388" s="5"/>
      <c r="AA388" s="5"/>
      <c r="AB388" s="5"/>
      <c r="AC388" s="11"/>
      <c r="AD388" s="5"/>
      <c r="AE388" s="5"/>
      <c r="AF388" s="5"/>
      <c r="AG388" s="5"/>
      <c r="AH388" s="5"/>
      <c r="AI388" s="5"/>
      <c r="AJ388" s="5"/>
      <c r="AK388" s="5"/>
      <c r="AL388" s="5"/>
      <c r="AM388" s="22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>
        <f t="shared" si="10"/>
        <v>4</v>
      </c>
      <c r="BJ388" s="27" t="s">
        <v>26</v>
      </c>
      <c r="BK388" s="5"/>
    </row>
    <row r="389" spans="1:63" s="9" customFormat="1" ht="11.25">
      <c r="A389" s="9" t="s">
        <v>313</v>
      </c>
      <c r="B389" s="9" t="s">
        <v>32</v>
      </c>
      <c r="C389" s="9" t="s">
        <v>72</v>
      </c>
      <c r="D389" s="27" t="s">
        <v>34</v>
      </c>
      <c r="E389" s="4"/>
      <c r="F389" s="4">
        <v>1</v>
      </c>
      <c r="G389" s="4"/>
      <c r="H389" s="22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10"/>
      <c r="AD389" s="4"/>
      <c r="AE389" s="4"/>
      <c r="AF389" s="4"/>
      <c r="AG389" s="4"/>
      <c r="AH389" s="4"/>
      <c r="AI389" s="4"/>
      <c r="AJ389" s="4"/>
      <c r="AK389" s="4"/>
      <c r="AL389" s="4"/>
      <c r="AM389" s="22"/>
      <c r="AN389" s="4"/>
      <c r="AO389" s="4"/>
      <c r="AP389" s="4"/>
      <c r="AQ389" s="4"/>
      <c r="AR389" s="4"/>
      <c r="AS389" s="4"/>
      <c r="AT389" s="4"/>
      <c r="AU389" s="4"/>
      <c r="AV389" s="4"/>
      <c r="AW389" s="4">
        <v>5</v>
      </c>
      <c r="AX389" s="4">
        <v>5</v>
      </c>
      <c r="AY389" s="4">
        <v>10</v>
      </c>
      <c r="AZ389" s="4"/>
      <c r="BA389" s="4"/>
      <c r="BB389" s="4"/>
      <c r="BC389" s="4"/>
      <c r="BD389" s="4"/>
      <c r="BE389" s="4"/>
      <c r="BF389" s="5"/>
      <c r="BG389" s="4"/>
      <c r="BH389" s="4"/>
      <c r="BI389" s="5">
        <f t="shared" si="10"/>
        <v>21</v>
      </c>
      <c r="BJ389" s="27" t="s">
        <v>34</v>
      </c>
      <c r="BK389" s="4"/>
    </row>
    <row r="390" spans="1:63" s="8" customFormat="1" ht="11.25">
      <c r="A390" s="8" t="s">
        <v>314</v>
      </c>
      <c r="B390" s="9" t="s">
        <v>32</v>
      </c>
      <c r="C390" s="9" t="s">
        <v>7</v>
      </c>
      <c r="D390" s="27" t="s">
        <v>34</v>
      </c>
      <c r="E390" s="5">
        <v>1</v>
      </c>
      <c r="F390" s="5"/>
      <c r="G390" s="5"/>
      <c r="H390" s="22"/>
      <c r="I390" s="5"/>
      <c r="J390" s="5"/>
      <c r="K390" s="5"/>
      <c r="L390" s="5"/>
      <c r="M390" s="5"/>
      <c r="N390" s="5">
        <v>1</v>
      </c>
      <c r="O390" s="5"/>
      <c r="P390" s="5"/>
      <c r="Q390" s="5">
        <v>3</v>
      </c>
      <c r="R390" s="5">
        <v>2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11"/>
      <c r="AD390" s="5"/>
      <c r="AE390" s="5"/>
      <c r="AF390" s="5"/>
      <c r="AG390" s="5"/>
      <c r="AH390" s="5"/>
      <c r="AI390" s="5"/>
      <c r="AJ390" s="5"/>
      <c r="AK390" s="5"/>
      <c r="AL390" s="5"/>
      <c r="AM390" s="22"/>
      <c r="AN390" s="5"/>
      <c r="AO390" s="5"/>
      <c r="AP390" s="5"/>
      <c r="AQ390" s="5">
        <v>1</v>
      </c>
      <c r="AR390" s="5"/>
      <c r="AS390" s="5"/>
      <c r="AT390" s="5"/>
      <c r="AU390" s="5"/>
      <c r="AV390" s="5">
        <v>6</v>
      </c>
      <c r="AW390" s="5"/>
      <c r="AX390" s="5"/>
      <c r="AY390" s="5"/>
      <c r="AZ390" s="5"/>
      <c r="BA390" s="5"/>
      <c r="BB390" s="5"/>
      <c r="BC390" s="5"/>
      <c r="BD390" s="5">
        <v>10</v>
      </c>
      <c r="BE390" s="5"/>
      <c r="BF390" s="5"/>
      <c r="BG390" s="5"/>
      <c r="BH390" s="5"/>
      <c r="BI390" s="5">
        <f>SUM(E390:BH390)</f>
        <v>24</v>
      </c>
      <c r="BJ390" s="27" t="s">
        <v>34</v>
      </c>
      <c r="BK390" s="5"/>
    </row>
    <row r="391" spans="1:63" s="8" customFormat="1" ht="11.25">
      <c r="A391" s="8" t="s">
        <v>315</v>
      </c>
      <c r="B391" s="9" t="s">
        <v>30</v>
      </c>
      <c r="C391" s="9" t="s">
        <v>31</v>
      </c>
      <c r="D391" s="27" t="s">
        <v>26</v>
      </c>
      <c r="E391" s="5"/>
      <c r="F391" s="5">
        <v>2</v>
      </c>
      <c r="G391" s="5"/>
      <c r="H391" s="2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11"/>
      <c r="AD391" s="5"/>
      <c r="AE391" s="5"/>
      <c r="AF391" s="5"/>
      <c r="AG391" s="5"/>
      <c r="AH391" s="5"/>
      <c r="AI391" s="5"/>
      <c r="AJ391" s="5"/>
      <c r="AK391" s="5"/>
      <c r="AL391" s="5"/>
      <c r="AM391" s="22"/>
      <c r="AN391" s="5"/>
      <c r="AO391" s="5"/>
      <c r="AP391" s="5"/>
      <c r="AQ391" s="5"/>
      <c r="AR391" s="5">
        <v>1</v>
      </c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>
        <f>SUM(E391:BH391)</f>
        <v>3</v>
      </c>
      <c r="BJ391" s="27" t="s">
        <v>26</v>
      </c>
      <c r="BK391" s="5"/>
    </row>
    <row r="392" spans="1:63" s="8" customFormat="1" ht="11.25">
      <c r="A392" s="8" t="s">
        <v>316</v>
      </c>
      <c r="B392" s="9" t="s">
        <v>30</v>
      </c>
      <c r="C392" s="9" t="s">
        <v>179</v>
      </c>
      <c r="D392" s="27" t="s">
        <v>26</v>
      </c>
      <c r="E392" s="5"/>
      <c r="F392" s="5"/>
      <c r="G392" s="5"/>
      <c r="H392" s="2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>
        <v>1</v>
      </c>
      <c r="W392" s="5"/>
      <c r="X392" s="5"/>
      <c r="Y392" s="5"/>
      <c r="Z392" s="5"/>
      <c r="AA392" s="5"/>
      <c r="AB392" s="5"/>
      <c r="AC392" s="11"/>
      <c r="AD392" s="5"/>
      <c r="AE392" s="5"/>
      <c r="AF392" s="5"/>
      <c r="AG392" s="5"/>
      <c r="AH392" s="5"/>
      <c r="AI392" s="5"/>
      <c r="AJ392" s="5"/>
      <c r="AK392" s="5"/>
      <c r="AL392" s="5"/>
      <c r="AM392" s="22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>
        <f>SUM(E392:BH392)</f>
        <v>1</v>
      </c>
      <c r="BJ392" s="27" t="s">
        <v>26</v>
      </c>
      <c r="BK392" s="5"/>
    </row>
    <row r="393" spans="1:63" s="8" customFormat="1" ht="11.25">
      <c r="A393" s="8" t="s">
        <v>317</v>
      </c>
      <c r="B393" s="8" t="s">
        <v>110</v>
      </c>
      <c r="C393" s="8" t="s">
        <v>77</v>
      </c>
      <c r="D393" s="27" t="s">
        <v>26</v>
      </c>
      <c r="E393" s="5">
        <v>15</v>
      </c>
      <c r="F393" s="5">
        <v>4</v>
      </c>
      <c r="G393" s="5">
        <v>20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11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>
        <f>SUM(E393:BH393)</f>
        <v>39</v>
      </c>
      <c r="BJ393" s="27" t="s">
        <v>26</v>
      </c>
      <c r="BK393" s="5"/>
    </row>
    <row r="394" spans="1:63" s="8" customFormat="1" ht="11.25">
      <c r="A394" s="8" t="s">
        <v>318</v>
      </c>
      <c r="B394" s="8" t="s">
        <v>88</v>
      </c>
      <c r="C394" s="19" t="s">
        <v>111</v>
      </c>
      <c r="D394" s="27" t="s">
        <v>26</v>
      </c>
      <c r="E394" s="5"/>
      <c r="F394" s="5"/>
      <c r="G394" s="5">
        <v>1</v>
      </c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11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>
        <f>SUM(E394:BH394)</f>
        <v>1</v>
      </c>
      <c r="BJ394" s="27" t="s">
        <v>26</v>
      </c>
      <c r="BK394" s="5"/>
    </row>
    <row r="395" spans="1:63" s="9" customFormat="1" ht="12" thickBot="1">
      <c r="A395" s="9" t="s">
        <v>319</v>
      </c>
      <c r="B395" s="9" t="s">
        <v>88</v>
      </c>
      <c r="C395" s="12" t="s">
        <v>51</v>
      </c>
      <c r="D395" s="27" t="s">
        <v>26</v>
      </c>
      <c r="E395" s="4"/>
      <c r="F395" s="4">
        <v>1</v>
      </c>
      <c r="G395" s="4"/>
      <c r="H395" s="22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10"/>
      <c r="AD395" s="4"/>
      <c r="AE395" s="4"/>
      <c r="AF395" s="4"/>
      <c r="AG395" s="4"/>
      <c r="AH395" s="4"/>
      <c r="AI395" s="4"/>
      <c r="AJ395" s="4"/>
      <c r="AK395" s="4"/>
      <c r="AL395" s="4"/>
      <c r="AM395" s="22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5">
        <f>SUM(E395:BH395)</f>
        <v>1</v>
      </c>
      <c r="BJ395" s="27" t="s">
        <v>26</v>
      </c>
      <c r="BK395" s="4"/>
    </row>
    <row r="396" spans="1:100" ht="12" hidden="1" thickBot="1">
      <c r="A396" s="37"/>
      <c r="B396" s="79"/>
      <c r="C396" s="80"/>
      <c r="E396" s="14"/>
      <c r="F396" s="14"/>
      <c r="G396" s="14"/>
      <c r="H396" s="15"/>
      <c r="I396" s="14"/>
      <c r="J396" s="14"/>
      <c r="K396" s="14"/>
      <c r="L396" s="14"/>
      <c r="M396" s="33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4"/>
      <c r="AE396" s="14"/>
      <c r="AF396" s="14"/>
      <c r="AG396" s="14"/>
      <c r="AH396" s="14"/>
      <c r="AI396" s="14"/>
      <c r="AJ396" s="14"/>
      <c r="AK396" s="14"/>
      <c r="AL396" s="14"/>
      <c r="AM396" s="33"/>
      <c r="AN396" s="14"/>
      <c r="AO396" s="33"/>
      <c r="AP396" s="14"/>
      <c r="AQ396" s="14"/>
      <c r="AR396" s="14"/>
      <c r="AS396" s="14"/>
      <c r="AT396" s="14"/>
      <c r="AU396" s="14"/>
      <c r="AV396" s="14"/>
      <c r="AW396" s="14"/>
      <c r="AX396" s="14"/>
      <c r="AY396" s="34"/>
      <c r="AZ396" s="34"/>
      <c r="BA396" s="34"/>
      <c r="BB396" s="34"/>
      <c r="BC396" s="14"/>
      <c r="BD396" s="14"/>
      <c r="BE396" s="14"/>
      <c r="BF396" s="14"/>
      <c r="BG396" s="14"/>
      <c r="BH396" s="14"/>
      <c r="BI396" s="14"/>
      <c r="BK396" s="5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</row>
    <row r="397" spans="2:100" ht="12" hidden="1" thickBot="1">
      <c r="B397" s="15"/>
      <c r="C397" s="15"/>
      <c r="E397" s="14"/>
      <c r="F397" s="14"/>
      <c r="G397" s="14"/>
      <c r="H397" s="15"/>
      <c r="I397" s="14"/>
      <c r="J397" s="14"/>
      <c r="K397" s="14"/>
      <c r="L397" s="14"/>
      <c r="M397" s="33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4"/>
      <c r="AE397" s="14"/>
      <c r="AF397" s="14"/>
      <c r="AG397" s="14"/>
      <c r="AH397" s="14"/>
      <c r="AI397" s="14"/>
      <c r="AJ397" s="14"/>
      <c r="AK397" s="14"/>
      <c r="AL397" s="14"/>
      <c r="AM397" s="33"/>
      <c r="AN397" s="14"/>
      <c r="AO397" s="33"/>
      <c r="AP397" s="14"/>
      <c r="AQ397" s="14"/>
      <c r="AR397" s="14"/>
      <c r="AS397" s="14"/>
      <c r="AT397" s="14"/>
      <c r="AU397" s="14"/>
      <c r="AV397" s="14"/>
      <c r="AW397" s="14"/>
      <c r="AX397" s="14"/>
      <c r="AY397" s="34"/>
      <c r="AZ397" s="34"/>
      <c r="BA397" s="34"/>
      <c r="BB397" s="34"/>
      <c r="BC397" s="14"/>
      <c r="BD397" s="14"/>
      <c r="BE397" s="14"/>
      <c r="BF397" s="14"/>
      <c r="BG397" s="14"/>
      <c r="BH397" s="14"/>
      <c r="BI397" s="14"/>
      <c r="BK397" s="5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</row>
    <row r="398" spans="2:100" ht="12" hidden="1" thickBot="1">
      <c r="B398" s="15"/>
      <c r="C398" s="15"/>
      <c r="E398" s="14"/>
      <c r="F398" s="14"/>
      <c r="G398" s="14"/>
      <c r="H398" s="15"/>
      <c r="I398" s="14"/>
      <c r="J398" s="14"/>
      <c r="K398" s="14"/>
      <c r="L398" s="14"/>
      <c r="M398" s="33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4"/>
      <c r="AE398" s="14"/>
      <c r="AF398" s="14"/>
      <c r="AG398" s="14"/>
      <c r="AH398" s="14"/>
      <c r="AI398" s="14"/>
      <c r="AJ398" s="14"/>
      <c r="AK398" s="14"/>
      <c r="AL398" s="14"/>
      <c r="AM398" s="33"/>
      <c r="AN398" s="14"/>
      <c r="AO398" s="33"/>
      <c r="AP398" s="14"/>
      <c r="AQ398" s="14"/>
      <c r="AR398" s="14"/>
      <c r="AS398" s="14"/>
      <c r="AT398" s="14"/>
      <c r="AU398" s="14"/>
      <c r="AV398" s="14"/>
      <c r="AW398" s="14"/>
      <c r="AX398" s="14"/>
      <c r="AY398" s="34"/>
      <c r="AZ398" s="34"/>
      <c r="BA398" s="34"/>
      <c r="BB398" s="34"/>
      <c r="BC398" s="14"/>
      <c r="BD398" s="14"/>
      <c r="BE398" s="14"/>
      <c r="BF398" s="14"/>
      <c r="BG398" s="14"/>
      <c r="BH398" s="14"/>
      <c r="BI398" s="14"/>
      <c r="BK398" s="5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</row>
    <row r="399" spans="2:66" ht="12" hidden="1" thickBot="1">
      <c r="B399" s="15"/>
      <c r="C399" s="15"/>
      <c r="E399" s="14"/>
      <c r="F399" s="14"/>
      <c r="G399" s="14"/>
      <c r="H399" s="15"/>
      <c r="I399" s="14"/>
      <c r="J399" s="14"/>
      <c r="K399" s="14"/>
      <c r="L399" s="14"/>
      <c r="M399" s="33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4"/>
      <c r="AE399" s="14"/>
      <c r="AF399" s="14"/>
      <c r="AG399" s="14"/>
      <c r="AH399" s="14"/>
      <c r="AI399" s="14"/>
      <c r="AJ399" s="14"/>
      <c r="AK399" s="14"/>
      <c r="AL399" s="14"/>
      <c r="AM399" s="33"/>
      <c r="AN399" s="14"/>
      <c r="AO399" s="33"/>
      <c r="AP399" s="14"/>
      <c r="AQ399" s="14"/>
      <c r="AR399" s="14"/>
      <c r="AS399" s="14"/>
      <c r="AT399" s="14"/>
      <c r="AU399" s="14"/>
      <c r="AV399" s="14"/>
      <c r="AW399" s="14"/>
      <c r="AX399" s="14"/>
      <c r="AY399" s="34"/>
      <c r="AZ399" s="34"/>
      <c r="BA399" s="34"/>
      <c r="BB399" s="34"/>
      <c r="BC399" s="14"/>
      <c r="BD399" s="14"/>
      <c r="BE399" s="14"/>
      <c r="BF399" s="14"/>
      <c r="BG399" s="14"/>
      <c r="BH399" s="14"/>
      <c r="BI399" s="14"/>
      <c r="BK399" s="5"/>
      <c r="BL399" s="8"/>
      <c r="BM399" s="8"/>
      <c r="BN399" s="8"/>
    </row>
    <row r="400" spans="2:66" ht="12" hidden="1" thickBot="1">
      <c r="B400" s="15"/>
      <c r="C400" s="15"/>
      <c r="E400" s="14"/>
      <c r="F400" s="14"/>
      <c r="G400" s="14"/>
      <c r="H400" s="15"/>
      <c r="I400" s="14"/>
      <c r="J400" s="14"/>
      <c r="K400" s="14"/>
      <c r="L400" s="14"/>
      <c r="M400" s="33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4"/>
      <c r="AE400" s="14"/>
      <c r="AF400" s="14"/>
      <c r="AG400" s="14"/>
      <c r="AH400" s="14"/>
      <c r="AI400" s="14"/>
      <c r="AJ400" s="14"/>
      <c r="AK400" s="14"/>
      <c r="AL400" s="14"/>
      <c r="AM400" s="33"/>
      <c r="AN400" s="14"/>
      <c r="AO400" s="33"/>
      <c r="AP400" s="14"/>
      <c r="AQ400" s="14"/>
      <c r="AR400" s="14"/>
      <c r="AS400" s="14"/>
      <c r="AT400" s="14"/>
      <c r="AU400" s="14"/>
      <c r="AV400" s="14"/>
      <c r="AW400" s="14"/>
      <c r="AX400" s="14"/>
      <c r="AY400" s="34"/>
      <c r="AZ400" s="34"/>
      <c r="BA400" s="34"/>
      <c r="BB400" s="34"/>
      <c r="BC400" s="14"/>
      <c r="BD400" s="14"/>
      <c r="BE400" s="14"/>
      <c r="BF400" s="14"/>
      <c r="BG400" s="14"/>
      <c r="BH400" s="14"/>
      <c r="BI400" s="14"/>
      <c r="BK400" s="5"/>
      <c r="BL400" s="8"/>
      <c r="BM400" s="8"/>
      <c r="BN400" s="8"/>
    </row>
    <row r="401" spans="2:66" ht="12" hidden="1" thickBot="1">
      <c r="B401" s="15"/>
      <c r="C401" s="15"/>
      <c r="E401" s="14"/>
      <c r="F401" s="14"/>
      <c r="G401" s="14"/>
      <c r="H401" s="15"/>
      <c r="I401" s="14"/>
      <c r="J401" s="14"/>
      <c r="K401" s="14"/>
      <c r="L401" s="14"/>
      <c r="M401" s="33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4"/>
      <c r="AE401" s="14"/>
      <c r="AF401" s="14"/>
      <c r="AG401" s="14"/>
      <c r="AH401" s="14"/>
      <c r="AI401" s="14"/>
      <c r="AJ401" s="14"/>
      <c r="AK401" s="14"/>
      <c r="AL401" s="14"/>
      <c r="AM401" s="33"/>
      <c r="AN401" s="14"/>
      <c r="AO401" s="33"/>
      <c r="AP401" s="14"/>
      <c r="AQ401" s="14"/>
      <c r="AR401" s="14"/>
      <c r="AS401" s="14"/>
      <c r="AT401" s="14"/>
      <c r="AU401" s="14"/>
      <c r="AV401" s="14"/>
      <c r="AW401" s="14"/>
      <c r="AX401" s="14"/>
      <c r="AY401" s="34"/>
      <c r="AZ401" s="34"/>
      <c r="BA401" s="34"/>
      <c r="BB401" s="34"/>
      <c r="BC401" s="14"/>
      <c r="BD401" s="14"/>
      <c r="BE401" s="14"/>
      <c r="BF401" s="14"/>
      <c r="BG401" s="14"/>
      <c r="BH401" s="14"/>
      <c r="BI401" s="14"/>
      <c r="BK401" s="5"/>
      <c r="BL401" s="8"/>
      <c r="BM401" s="8"/>
      <c r="BN401" s="8"/>
    </row>
    <row r="402" spans="2:66" ht="12" hidden="1" thickBot="1">
      <c r="B402" s="15"/>
      <c r="C402" s="15"/>
      <c r="E402" s="14"/>
      <c r="F402" s="14"/>
      <c r="G402" s="14"/>
      <c r="H402" s="15"/>
      <c r="I402" s="14"/>
      <c r="J402" s="14"/>
      <c r="K402" s="14"/>
      <c r="L402" s="14"/>
      <c r="M402" s="33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4"/>
      <c r="AE402" s="14"/>
      <c r="AF402" s="14"/>
      <c r="AG402" s="14"/>
      <c r="AH402" s="14"/>
      <c r="AI402" s="14"/>
      <c r="AJ402" s="14"/>
      <c r="AK402" s="14"/>
      <c r="AL402" s="14"/>
      <c r="AM402" s="33"/>
      <c r="AN402" s="14"/>
      <c r="AO402" s="33"/>
      <c r="AP402" s="14"/>
      <c r="AQ402" s="14"/>
      <c r="AR402" s="14"/>
      <c r="AS402" s="14"/>
      <c r="AT402" s="14"/>
      <c r="AU402" s="14"/>
      <c r="AV402" s="14"/>
      <c r="AW402" s="14"/>
      <c r="AX402" s="14"/>
      <c r="AY402" s="34"/>
      <c r="AZ402" s="34"/>
      <c r="BA402" s="34"/>
      <c r="BB402" s="34"/>
      <c r="BC402" s="14"/>
      <c r="BD402" s="14"/>
      <c r="BE402" s="14"/>
      <c r="BF402" s="14"/>
      <c r="BG402" s="14"/>
      <c r="BH402" s="14"/>
      <c r="BI402" s="14"/>
      <c r="BK402" s="5"/>
      <c r="BL402" s="8"/>
      <c r="BM402" s="8"/>
      <c r="BN402" s="8"/>
    </row>
    <row r="403" spans="2:66" ht="12" hidden="1" thickBot="1">
      <c r="B403" s="15"/>
      <c r="C403" s="15"/>
      <c r="E403" s="14"/>
      <c r="F403" s="14"/>
      <c r="G403" s="14"/>
      <c r="H403" s="15"/>
      <c r="I403" s="14"/>
      <c r="J403" s="14"/>
      <c r="K403" s="14"/>
      <c r="L403" s="14"/>
      <c r="M403" s="33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4"/>
      <c r="AE403" s="14"/>
      <c r="AF403" s="14"/>
      <c r="AG403" s="14"/>
      <c r="AH403" s="14"/>
      <c r="AI403" s="14"/>
      <c r="AJ403" s="14"/>
      <c r="AK403" s="14"/>
      <c r="AL403" s="14"/>
      <c r="AM403" s="33"/>
      <c r="AN403" s="14"/>
      <c r="AO403" s="33"/>
      <c r="AP403" s="14"/>
      <c r="AQ403" s="14"/>
      <c r="AR403" s="14"/>
      <c r="AS403" s="14"/>
      <c r="AT403" s="14"/>
      <c r="AU403" s="14"/>
      <c r="AV403" s="14"/>
      <c r="AW403" s="14"/>
      <c r="AX403" s="14"/>
      <c r="AY403" s="34"/>
      <c r="AZ403" s="34"/>
      <c r="BA403" s="34"/>
      <c r="BB403" s="34"/>
      <c r="BC403" s="14"/>
      <c r="BD403" s="14"/>
      <c r="BE403" s="14"/>
      <c r="BF403" s="14"/>
      <c r="BG403" s="14"/>
      <c r="BH403" s="14"/>
      <c r="BI403" s="14"/>
      <c r="BK403" s="5"/>
      <c r="BL403" s="8"/>
      <c r="BM403" s="8"/>
      <c r="BN403" s="8"/>
    </row>
    <row r="404" spans="2:66" ht="12" hidden="1" thickBot="1">
      <c r="B404" s="15"/>
      <c r="C404" s="15"/>
      <c r="E404" s="14"/>
      <c r="F404" s="14"/>
      <c r="G404" s="14"/>
      <c r="H404" s="15"/>
      <c r="I404" s="14"/>
      <c r="J404" s="14"/>
      <c r="K404" s="14"/>
      <c r="L404" s="14"/>
      <c r="M404" s="33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4"/>
      <c r="AE404" s="14"/>
      <c r="AF404" s="14"/>
      <c r="AG404" s="14"/>
      <c r="AH404" s="14"/>
      <c r="AI404" s="14"/>
      <c r="AJ404" s="14"/>
      <c r="AK404" s="14"/>
      <c r="AL404" s="14"/>
      <c r="AM404" s="33"/>
      <c r="AN404" s="14"/>
      <c r="AO404" s="33"/>
      <c r="AP404" s="14"/>
      <c r="AQ404" s="14"/>
      <c r="AR404" s="14"/>
      <c r="AS404" s="14"/>
      <c r="AT404" s="14"/>
      <c r="AU404" s="14"/>
      <c r="AV404" s="14"/>
      <c r="AW404" s="14"/>
      <c r="AX404" s="14"/>
      <c r="AY404" s="34"/>
      <c r="AZ404" s="34"/>
      <c r="BA404" s="34"/>
      <c r="BB404" s="34"/>
      <c r="BC404" s="14"/>
      <c r="BD404" s="14"/>
      <c r="BE404" s="14"/>
      <c r="BF404" s="14"/>
      <c r="BG404" s="14"/>
      <c r="BH404" s="14"/>
      <c r="BI404" s="14"/>
      <c r="BK404" s="5"/>
      <c r="BL404" s="8"/>
      <c r="BM404" s="8"/>
      <c r="BN404" s="8"/>
    </row>
    <row r="405" spans="2:66" ht="12" hidden="1" thickBot="1">
      <c r="B405" s="15"/>
      <c r="C405" s="15"/>
      <c r="E405" s="14"/>
      <c r="F405" s="14"/>
      <c r="G405" s="14"/>
      <c r="H405" s="15"/>
      <c r="I405" s="14"/>
      <c r="J405" s="14"/>
      <c r="K405" s="14"/>
      <c r="L405" s="14"/>
      <c r="M405" s="33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4"/>
      <c r="AE405" s="14"/>
      <c r="AF405" s="14"/>
      <c r="AG405" s="14"/>
      <c r="AH405" s="14"/>
      <c r="AI405" s="14"/>
      <c r="AJ405" s="14"/>
      <c r="AK405" s="14"/>
      <c r="AL405" s="14"/>
      <c r="AM405" s="33"/>
      <c r="AN405" s="14"/>
      <c r="AO405" s="33"/>
      <c r="AP405" s="14"/>
      <c r="AQ405" s="14"/>
      <c r="AR405" s="14"/>
      <c r="AS405" s="14"/>
      <c r="AT405" s="14"/>
      <c r="AU405" s="14"/>
      <c r="AV405" s="14"/>
      <c r="AW405" s="14"/>
      <c r="AX405" s="14"/>
      <c r="AY405" s="34"/>
      <c r="AZ405" s="34"/>
      <c r="BA405" s="34"/>
      <c r="BB405" s="34"/>
      <c r="BC405" s="14"/>
      <c r="BD405" s="14"/>
      <c r="BE405" s="14"/>
      <c r="BF405" s="14"/>
      <c r="BG405" s="14"/>
      <c r="BH405" s="14"/>
      <c r="BI405" s="14"/>
      <c r="BK405" s="5"/>
      <c r="BL405" s="8"/>
      <c r="BM405" s="8"/>
      <c r="BN405" s="8"/>
    </row>
    <row r="406" spans="2:66" ht="12" hidden="1" thickBot="1">
      <c r="B406" s="15"/>
      <c r="C406" s="15"/>
      <c r="E406" s="14"/>
      <c r="F406" s="14"/>
      <c r="G406" s="14"/>
      <c r="H406" s="15"/>
      <c r="I406" s="14"/>
      <c r="J406" s="14"/>
      <c r="K406" s="14"/>
      <c r="L406" s="14"/>
      <c r="M406" s="33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4"/>
      <c r="AE406" s="14"/>
      <c r="AF406" s="14"/>
      <c r="AG406" s="14"/>
      <c r="AH406" s="14"/>
      <c r="AI406" s="14"/>
      <c r="AJ406" s="14"/>
      <c r="AK406" s="14"/>
      <c r="AL406" s="14"/>
      <c r="AM406" s="33"/>
      <c r="AN406" s="14"/>
      <c r="AO406" s="33"/>
      <c r="AP406" s="14"/>
      <c r="AQ406" s="14"/>
      <c r="AR406" s="14"/>
      <c r="AS406" s="14"/>
      <c r="AT406" s="14"/>
      <c r="AU406" s="14"/>
      <c r="AV406" s="14"/>
      <c r="AW406" s="14"/>
      <c r="AX406" s="14"/>
      <c r="AY406" s="34"/>
      <c r="AZ406" s="34"/>
      <c r="BA406" s="34"/>
      <c r="BB406" s="34"/>
      <c r="BC406" s="14"/>
      <c r="BD406" s="14"/>
      <c r="BE406" s="14"/>
      <c r="BF406" s="14"/>
      <c r="BG406" s="14"/>
      <c r="BH406" s="14"/>
      <c r="BI406" s="14"/>
      <c r="BK406" s="5"/>
      <c r="BL406" s="8"/>
      <c r="BM406" s="8"/>
      <c r="BN406" s="8"/>
    </row>
    <row r="407" spans="2:66" ht="12" hidden="1" thickBot="1">
      <c r="B407" s="15"/>
      <c r="C407" s="15"/>
      <c r="E407" s="14"/>
      <c r="F407" s="14"/>
      <c r="G407" s="14"/>
      <c r="H407" s="15"/>
      <c r="I407" s="14"/>
      <c r="J407" s="14"/>
      <c r="K407" s="14"/>
      <c r="L407" s="14"/>
      <c r="M407" s="33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4"/>
      <c r="AE407" s="14"/>
      <c r="AF407" s="14"/>
      <c r="AG407" s="14"/>
      <c r="AH407" s="14"/>
      <c r="AI407" s="14"/>
      <c r="AJ407" s="14"/>
      <c r="AK407" s="14"/>
      <c r="AL407" s="14"/>
      <c r="AM407" s="33"/>
      <c r="AN407" s="14"/>
      <c r="AO407" s="33"/>
      <c r="AP407" s="14"/>
      <c r="AQ407" s="14"/>
      <c r="AR407" s="14"/>
      <c r="AS407" s="14"/>
      <c r="AT407" s="14"/>
      <c r="AU407" s="14"/>
      <c r="AV407" s="14"/>
      <c r="AW407" s="14"/>
      <c r="AX407" s="14"/>
      <c r="AY407" s="34"/>
      <c r="AZ407" s="34"/>
      <c r="BA407" s="34"/>
      <c r="BB407" s="34"/>
      <c r="BC407" s="14"/>
      <c r="BD407" s="14"/>
      <c r="BE407" s="14"/>
      <c r="BF407" s="14"/>
      <c r="BG407" s="14"/>
      <c r="BH407" s="14"/>
      <c r="BI407" s="14"/>
      <c r="BK407" s="5"/>
      <c r="BL407" s="8"/>
      <c r="BM407" s="8"/>
      <c r="BN407" s="8"/>
    </row>
    <row r="408" spans="2:66" ht="12" hidden="1" thickBot="1">
      <c r="B408" s="15"/>
      <c r="C408" s="15"/>
      <c r="E408" s="14"/>
      <c r="F408" s="14"/>
      <c r="G408" s="14"/>
      <c r="H408" s="15"/>
      <c r="I408" s="14"/>
      <c r="J408" s="14"/>
      <c r="K408" s="14"/>
      <c r="L408" s="14"/>
      <c r="M408" s="33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4"/>
      <c r="AE408" s="14"/>
      <c r="AF408" s="14"/>
      <c r="AG408" s="14"/>
      <c r="AH408" s="14"/>
      <c r="AI408" s="14"/>
      <c r="AJ408" s="14"/>
      <c r="AK408" s="14"/>
      <c r="AL408" s="14"/>
      <c r="AM408" s="33"/>
      <c r="AN408" s="14"/>
      <c r="AO408" s="33"/>
      <c r="AP408" s="14"/>
      <c r="AQ408" s="14"/>
      <c r="AR408" s="14"/>
      <c r="AS408" s="14"/>
      <c r="AT408" s="14"/>
      <c r="AU408" s="14"/>
      <c r="AV408" s="14"/>
      <c r="AW408" s="14"/>
      <c r="AX408" s="14"/>
      <c r="AY408" s="34"/>
      <c r="AZ408" s="34"/>
      <c r="BA408" s="34"/>
      <c r="BB408" s="34"/>
      <c r="BC408" s="14"/>
      <c r="BD408" s="14"/>
      <c r="BE408" s="14"/>
      <c r="BF408" s="14"/>
      <c r="BG408" s="14"/>
      <c r="BH408" s="14"/>
      <c r="BI408" s="14"/>
      <c r="BK408" s="5"/>
      <c r="BL408" s="8"/>
      <c r="BM408" s="8"/>
      <c r="BN408" s="8"/>
    </row>
    <row r="409" spans="2:66" ht="12" hidden="1" thickBot="1">
      <c r="B409" s="15"/>
      <c r="C409" s="15"/>
      <c r="E409" s="14"/>
      <c r="F409" s="14"/>
      <c r="G409" s="14"/>
      <c r="H409" s="15"/>
      <c r="I409" s="14"/>
      <c r="J409" s="14"/>
      <c r="K409" s="14"/>
      <c r="L409" s="14"/>
      <c r="M409" s="3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4"/>
      <c r="AE409" s="14"/>
      <c r="AF409" s="14"/>
      <c r="AG409" s="14"/>
      <c r="AH409" s="14"/>
      <c r="AI409" s="14"/>
      <c r="AJ409" s="14"/>
      <c r="AK409" s="14"/>
      <c r="AL409" s="14"/>
      <c r="AM409" s="33"/>
      <c r="AN409" s="14"/>
      <c r="AO409" s="33"/>
      <c r="AP409" s="14"/>
      <c r="AQ409" s="14"/>
      <c r="AR409" s="14"/>
      <c r="AS409" s="14"/>
      <c r="AT409" s="14"/>
      <c r="AU409" s="14"/>
      <c r="AV409" s="14"/>
      <c r="AW409" s="14"/>
      <c r="AX409" s="14"/>
      <c r="AY409" s="34"/>
      <c r="AZ409" s="34"/>
      <c r="BA409" s="34"/>
      <c r="BB409" s="34"/>
      <c r="BC409" s="14"/>
      <c r="BD409" s="14"/>
      <c r="BE409" s="14"/>
      <c r="BF409" s="14"/>
      <c r="BG409" s="14"/>
      <c r="BH409" s="14"/>
      <c r="BI409" s="14"/>
      <c r="BK409" s="5"/>
      <c r="BL409" s="8"/>
      <c r="BM409" s="8"/>
      <c r="BN409" s="8"/>
    </row>
    <row r="410" spans="2:66" ht="12" hidden="1" thickBot="1">
      <c r="B410" s="15"/>
      <c r="C410" s="15"/>
      <c r="E410" s="14"/>
      <c r="F410" s="14"/>
      <c r="G410" s="14"/>
      <c r="H410" s="15"/>
      <c r="I410" s="14"/>
      <c r="J410" s="14"/>
      <c r="K410" s="14"/>
      <c r="L410" s="14"/>
      <c r="M410" s="33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4"/>
      <c r="AE410" s="14"/>
      <c r="AF410" s="14"/>
      <c r="AG410" s="14"/>
      <c r="AH410" s="14"/>
      <c r="AI410" s="14"/>
      <c r="AJ410" s="14"/>
      <c r="AK410" s="14"/>
      <c r="AL410" s="14"/>
      <c r="AM410" s="33"/>
      <c r="AN410" s="14"/>
      <c r="AO410" s="33"/>
      <c r="AP410" s="14"/>
      <c r="AQ410" s="14"/>
      <c r="AR410" s="14"/>
      <c r="AS410" s="14"/>
      <c r="AT410" s="14"/>
      <c r="AU410" s="14"/>
      <c r="AV410" s="14"/>
      <c r="AW410" s="14"/>
      <c r="AX410" s="14"/>
      <c r="AY410" s="34"/>
      <c r="AZ410" s="34"/>
      <c r="BA410" s="34"/>
      <c r="BB410" s="34"/>
      <c r="BC410" s="14"/>
      <c r="BD410" s="14"/>
      <c r="BE410" s="14"/>
      <c r="BF410" s="14"/>
      <c r="BG410" s="14"/>
      <c r="BH410" s="14"/>
      <c r="BI410" s="14"/>
      <c r="BK410" s="5"/>
      <c r="BL410" s="8"/>
      <c r="BM410" s="8"/>
      <c r="BN410" s="8"/>
    </row>
    <row r="411" spans="2:66" ht="12" hidden="1" thickBot="1">
      <c r="B411" s="15"/>
      <c r="C411" s="15"/>
      <c r="E411" s="14"/>
      <c r="F411" s="14"/>
      <c r="G411" s="14"/>
      <c r="H411" s="15"/>
      <c r="I411" s="14"/>
      <c r="J411" s="14"/>
      <c r="K411" s="14"/>
      <c r="L411" s="14"/>
      <c r="M411" s="3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4"/>
      <c r="AE411" s="14"/>
      <c r="AF411" s="14"/>
      <c r="AG411" s="14"/>
      <c r="AH411" s="14"/>
      <c r="AI411" s="14"/>
      <c r="AJ411" s="14"/>
      <c r="AK411" s="14"/>
      <c r="AL411" s="14"/>
      <c r="AM411" s="33"/>
      <c r="AN411" s="14"/>
      <c r="AO411" s="33"/>
      <c r="AP411" s="14"/>
      <c r="AQ411" s="14"/>
      <c r="AR411" s="14"/>
      <c r="AS411" s="14"/>
      <c r="AT411" s="14"/>
      <c r="AU411" s="14"/>
      <c r="AV411" s="14"/>
      <c r="AW411" s="14"/>
      <c r="AX411" s="14"/>
      <c r="AY411" s="34"/>
      <c r="AZ411" s="34"/>
      <c r="BA411" s="34"/>
      <c r="BB411" s="34"/>
      <c r="BC411" s="14"/>
      <c r="BD411" s="14"/>
      <c r="BE411" s="14"/>
      <c r="BF411" s="14"/>
      <c r="BG411" s="14"/>
      <c r="BH411" s="14"/>
      <c r="BI411" s="14"/>
      <c r="BK411" s="5"/>
      <c r="BL411" s="8"/>
      <c r="BM411" s="8"/>
      <c r="BN411" s="8"/>
    </row>
    <row r="412" spans="2:66" ht="12" hidden="1" thickBot="1">
      <c r="B412" s="15"/>
      <c r="C412" s="15"/>
      <c r="E412" s="14"/>
      <c r="F412" s="14"/>
      <c r="G412" s="14"/>
      <c r="H412" s="15"/>
      <c r="I412" s="14"/>
      <c r="J412" s="14"/>
      <c r="K412" s="14"/>
      <c r="L412" s="14"/>
      <c r="M412" s="33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4"/>
      <c r="AE412" s="14"/>
      <c r="AF412" s="14"/>
      <c r="AG412" s="14"/>
      <c r="AH412" s="14"/>
      <c r="AI412" s="14"/>
      <c r="AJ412" s="14"/>
      <c r="AK412" s="14"/>
      <c r="AL412" s="14"/>
      <c r="AM412" s="33"/>
      <c r="AN412" s="14"/>
      <c r="AO412" s="33"/>
      <c r="AP412" s="14"/>
      <c r="AQ412" s="14"/>
      <c r="AR412" s="14"/>
      <c r="AS412" s="14"/>
      <c r="AT412" s="14"/>
      <c r="AU412" s="14"/>
      <c r="AV412" s="14"/>
      <c r="AW412" s="14"/>
      <c r="AX412" s="14"/>
      <c r="AY412" s="34"/>
      <c r="AZ412" s="34"/>
      <c r="BA412" s="34"/>
      <c r="BB412" s="34"/>
      <c r="BC412" s="14"/>
      <c r="BD412" s="14"/>
      <c r="BE412" s="14"/>
      <c r="BF412" s="14"/>
      <c r="BG412" s="14"/>
      <c r="BH412" s="14"/>
      <c r="BI412" s="14"/>
      <c r="BK412" s="5"/>
      <c r="BL412" s="8"/>
      <c r="BM412" s="8"/>
      <c r="BN412" s="8"/>
    </row>
    <row r="413" spans="2:66" ht="12" hidden="1" thickBot="1">
      <c r="B413" s="15"/>
      <c r="C413" s="15"/>
      <c r="E413" s="14"/>
      <c r="F413" s="14"/>
      <c r="G413" s="14"/>
      <c r="H413" s="15"/>
      <c r="I413" s="14"/>
      <c r="J413" s="14"/>
      <c r="K413" s="14"/>
      <c r="L413" s="14"/>
      <c r="M413" s="33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4"/>
      <c r="AE413" s="14"/>
      <c r="AF413" s="14"/>
      <c r="AG413" s="14"/>
      <c r="AH413" s="14"/>
      <c r="AI413" s="14"/>
      <c r="AJ413" s="14"/>
      <c r="AK413" s="14"/>
      <c r="AL413" s="14"/>
      <c r="AM413" s="33"/>
      <c r="AN413" s="14"/>
      <c r="AO413" s="33"/>
      <c r="AP413" s="14"/>
      <c r="AQ413" s="14"/>
      <c r="AR413" s="14"/>
      <c r="AS413" s="14"/>
      <c r="AT413" s="14"/>
      <c r="AU413" s="14"/>
      <c r="AV413" s="14"/>
      <c r="AW413" s="14"/>
      <c r="AX413" s="14"/>
      <c r="AY413" s="34"/>
      <c r="AZ413" s="34"/>
      <c r="BA413" s="34"/>
      <c r="BB413" s="34"/>
      <c r="BC413" s="14"/>
      <c r="BD413" s="14"/>
      <c r="BE413" s="14"/>
      <c r="BF413" s="14"/>
      <c r="BG413" s="14"/>
      <c r="BH413" s="14"/>
      <c r="BI413" s="14"/>
      <c r="BK413" s="5"/>
      <c r="BL413" s="8"/>
      <c r="BM413" s="8"/>
      <c r="BN413" s="8"/>
    </row>
    <row r="414" spans="2:66" ht="12" hidden="1" thickBot="1">
      <c r="B414" s="15"/>
      <c r="C414" s="15"/>
      <c r="E414" s="14"/>
      <c r="F414" s="14"/>
      <c r="G414" s="14"/>
      <c r="H414" s="15"/>
      <c r="I414" s="14"/>
      <c r="J414" s="14"/>
      <c r="K414" s="14"/>
      <c r="L414" s="14"/>
      <c r="M414" s="33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4"/>
      <c r="AE414" s="14"/>
      <c r="AF414" s="14"/>
      <c r="AG414" s="14"/>
      <c r="AH414" s="14"/>
      <c r="AI414" s="14"/>
      <c r="AJ414" s="14"/>
      <c r="AK414" s="14"/>
      <c r="AL414" s="14"/>
      <c r="AM414" s="33"/>
      <c r="AN414" s="14"/>
      <c r="AO414" s="33"/>
      <c r="AP414" s="14"/>
      <c r="AQ414" s="14"/>
      <c r="AR414" s="14"/>
      <c r="AS414" s="14"/>
      <c r="AT414" s="14"/>
      <c r="AU414" s="14"/>
      <c r="AV414" s="14"/>
      <c r="AW414" s="14"/>
      <c r="AX414" s="14"/>
      <c r="AY414" s="34"/>
      <c r="AZ414" s="34"/>
      <c r="BA414" s="34"/>
      <c r="BB414" s="34"/>
      <c r="BC414" s="14"/>
      <c r="BD414" s="14"/>
      <c r="BE414" s="14"/>
      <c r="BF414" s="14"/>
      <c r="BG414" s="14"/>
      <c r="BH414" s="14"/>
      <c r="BI414" s="14"/>
      <c r="BK414" s="5"/>
      <c r="BL414" s="8"/>
      <c r="BM414" s="8"/>
      <c r="BN414" s="8"/>
    </row>
    <row r="415" spans="2:66" ht="12" hidden="1" thickBot="1">
      <c r="B415" s="15"/>
      <c r="C415" s="15"/>
      <c r="E415" s="14"/>
      <c r="F415" s="14"/>
      <c r="G415" s="14"/>
      <c r="H415" s="15"/>
      <c r="I415" s="14"/>
      <c r="J415" s="14"/>
      <c r="K415" s="14"/>
      <c r="L415" s="14"/>
      <c r="M415" s="33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4"/>
      <c r="AE415" s="14"/>
      <c r="AF415" s="14"/>
      <c r="AG415" s="14"/>
      <c r="AH415" s="14"/>
      <c r="AI415" s="14"/>
      <c r="AJ415" s="14"/>
      <c r="AK415" s="14"/>
      <c r="AL415" s="14"/>
      <c r="AM415" s="33"/>
      <c r="AN415" s="14"/>
      <c r="AO415" s="33"/>
      <c r="AP415" s="14"/>
      <c r="AQ415" s="14"/>
      <c r="AR415" s="14"/>
      <c r="AS415" s="14"/>
      <c r="AT415" s="14"/>
      <c r="AU415" s="14"/>
      <c r="AV415" s="14"/>
      <c r="AW415" s="14"/>
      <c r="AX415" s="14"/>
      <c r="AY415" s="34"/>
      <c r="AZ415" s="34"/>
      <c r="BA415" s="34"/>
      <c r="BB415" s="34"/>
      <c r="BC415" s="14"/>
      <c r="BD415" s="14"/>
      <c r="BE415" s="14"/>
      <c r="BF415" s="14"/>
      <c r="BG415" s="14"/>
      <c r="BH415" s="14"/>
      <c r="BI415" s="14"/>
      <c r="BK415" s="5"/>
      <c r="BL415" s="8"/>
      <c r="BM415" s="8"/>
      <c r="BN415" s="8"/>
    </row>
    <row r="416" spans="2:66" ht="12" hidden="1" thickBot="1">
      <c r="B416" s="15"/>
      <c r="C416" s="15"/>
      <c r="E416" s="14"/>
      <c r="F416" s="14"/>
      <c r="G416" s="14"/>
      <c r="H416" s="15"/>
      <c r="I416" s="14"/>
      <c r="J416" s="14"/>
      <c r="K416" s="14"/>
      <c r="L416" s="14"/>
      <c r="M416" s="33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4"/>
      <c r="AE416" s="14"/>
      <c r="AF416" s="14"/>
      <c r="AG416" s="14"/>
      <c r="AH416" s="14"/>
      <c r="AI416" s="14"/>
      <c r="AJ416" s="14"/>
      <c r="AK416" s="14"/>
      <c r="AL416" s="14"/>
      <c r="AM416" s="33"/>
      <c r="AN416" s="14"/>
      <c r="AO416" s="33"/>
      <c r="AP416" s="14"/>
      <c r="AQ416" s="14"/>
      <c r="AR416" s="14"/>
      <c r="AS416" s="14"/>
      <c r="AT416" s="14"/>
      <c r="AU416" s="14"/>
      <c r="AV416" s="14"/>
      <c r="AW416" s="14"/>
      <c r="AX416" s="14"/>
      <c r="AY416" s="34"/>
      <c r="AZ416" s="34"/>
      <c r="BA416" s="34"/>
      <c r="BB416" s="34"/>
      <c r="BC416" s="14"/>
      <c r="BD416" s="14"/>
      <c r="BE416" s="14"/>
      <c r="BF416" s="14"/>
      <c r="BG416" s="14"/>
      <c r="BH416" s="14"/>
      <c r="BI416" s="14"/>
      <c r="BK416" s="5"/>
      <c r="BL416" s="8"/>
      <c r="BM416" s="8"/>
      <c r="BN416" s="8"/>
    </row>
    <row r="417" spans="2:66" ht="12" hidden="1" thickBot="1">
      <c r="B417" s="15"/>
      <c r="C417" s="15"/>
      <c r="E417" s="14"/>
      <c r="F417" s="14"/>
      <c r="G417" s="14"/>
      <c r="H417" s="15"/>
      <c r="I417" s="14"/>
      <c r="J417" s="14"/>
      <c r="K417" s="14"/>
      <c r="L417" s="14"/>
      <c r="M417" s="33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4"/>
      <c r="AE417" s="14"/>
      <c r="AF417" s="14"/>
      <c r="AG417" s="14"/>
      <c r="AH417" s="14"/>
      <c r="AI417" s="14"/>
      <c r="AJ417" s="14"/>
      <c r="AK417" s="14"/>
      <c r="AL417" s="14"/>
      <c r="AM417" s="33"/>
      <c r="AN417" s="14"/>
      <c r="AO417" s="33"/>
      <c r="AP417" s="14"/>
      <c r="AQ417" s="14"/>
      <c r="AR417" s="14"/>
      <c r="AS417" s="14"/>
      <c r="AT417" s="14"/>
      <c r="AU417" s="14"/>
      <c r="AV417" s="14"/>
      <c r="AW417" s="14"/>
      <c r="AX417" s="14"/>
      <c r="AY417" s="34"/>
      <c r="AZ417" s="34"/>
      <c r="BA417" s="34"/>
      <c r="BB417" s="34"/>
      <c r="BC417" s="14"/>
      <c r="BD417" s="14"/>
      <c r="BE417" s="14"/>
      <c r="BF417" s="14"/>
      <c r="BG417" s="14"/>
      <c r="BH417" s="14"/>
      <c r="BI417" s="14"/>
      <c r="BK417" s="5"/>
      <c r="BL417" s="8"/>
      <c r="BM417" s="8"/>
      <c r="BN417" s="8"/>
    </row>
    <row r="418" spans="2:66" ht="12" hidden="1" thickBot="1">
      <c r="B418" s="15"/>
      <c r="C418" s="15"/>
      <c r="E418" s="14"/>
      <c r="F418" s="14"/>
      <c r="G418" s="14"/>
      <c r="H418" s="15"/>
      <c r="I418" s="14"/>
      <c r="J418" s="14"/>
      <c r="K418" s="14"/>
      <c r="L418" s="14"/>
      <c r="M418" s="33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4"/>
      <c r="AE418" s="14"/>
      <c r="AF418" s="14"/>
      <c r="AG418" s="14"/>
      <c r="AH418" s="14"/>
      <c r="AI418" s="14"/>
      <c r="AJ418" s="14"/>
      <c r="AK418" s="14"/>
      <c r="AL418" s="14"/>
      <c r="AM418" s="33"/>
      <c r="AN418" s="14"/>
      <c r="AO418" s="33"/>
      <c r="AP418" s="14"/>
      <c r="AQ418" s="14"/>
      <c r="AR418" s="14"/>
      <c r="AS418" s="14"/>
      <c r="AT418" s="14"/>
      <c r="AU418" s="14"/>
      <c r="AV418" s="14"/>
      <c r="AW418" s="14"/>
      <c r="AX418" s="14"/>
      <c r="AY418" s="34"/>
      <c r="AZ418" s="34"/>
      <c r="BA418" s="34"/>
      <c r="BB418" s="34"/>
      <c r="BC418" s="14"/>
      <c r="BD418" s="14"/>
      <c r="BE418" s="14"/>
      <c r="BF418" s="14"/>
      <c r="BG418" s="14"/>
      <c r="BH418" s="14"/>
      <c r="BI418" s="14"/>
      <c r="BK418" s="5"/>
      <c r="BL418" s="8"/>
      <c r="BM418" s="8"/>
      <c r="BN418" s="8"/>
    </row>
    <row r="419" spans="2:66" ht="12" hidden="1" thickBot="1">
      <c r="B419" s="15"/>
      <c r="C419" s="15"/>
      <c r="E419" s="14"/>
      <c r="F419" s="14"/>
      <c r="G419" s="14"/>
      <c r="H419" s="15"/>
      <c r="I419" s="14"/>
      <c r="J419" s="14"/>
      <c r="K419" s="14"/>
      <c r="L419" s="14"/>
      <c r="M419" s="3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4"/>
      <c r="AE419" s="14"/>
      <c r="AF419" s="14"/>
      <c r="AG419" s="14"/>
      <c r="AH419" s="14"/>
      <c r="AI419" s="14"/>
      <c r="AJ419" s="14"/>
      <c r="AK419" s="14"/>
      <c r="AL419" s="14"/>
      <c r="AM419" s="33"/>
      <c r="AN419" s="14"/>
      <c r="AO419" s="33"/>
      <c r="AP419" s="14"/>
      <c r="AQ419" s="14"/>
      <c r="AR419" s="14"/>
      <c r="AS419" s="14"/>
      <c r="AT419" s="14"/>
      <c r="AU419" s="14"/>
      <c r="AV419" s="14"/>
      <c r="AW419" s="14"/>
      <c r="AX419" s="14"/>
      <c r="AY419" s="34"/>
      <c r="AZ419" s="34"/>
      <c r="BA419" s="34"/>
      <c r="BB419" s="34"/>
      <c r="BC419" s="14"/>
      <c r="BD419" s="14"/>
      <c r="BE419" s="14"/>
      <c r="BF419" s="14"/>
      <c r="BG419" s="14"/>
      <c r="BH419" s="14"/>
      <c r="BI419" s="14"/>
      <c r="BK419" s="5"/>
      <c r="BL419" s="8"/>
      <c r="BM419" s="8"/>
      <c r="BN419" s="8"/>
    </row>
    <row r="420" spans="2:66" ht="12" hidden="1" thickBot="1">
      <c r="B420" s="15"/>
      <c r="C420" s="15"/>
      <c r="E420" s="14"/>
      <c r="F420" s="14"/>
      <c r="G420" s="14"/>
      <c r="H420" s="15"/>
      <c r="I420" s="14"/>
      <c r="J420" s="14"/>
      <c r="K420" s="14"/>
      <c r="L420" s="14"/>
      <c r="M420" s="33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4"/>
      <c r="AE420" s="14"/>
      <c r="AF420" s="14"/>
      <c r="AG420" s="14"/>
      <c r="AH420" s="14"/>
      <c r="AI420" s="14"/>
      <c r="AJ420" s="14"/>
      <c r="AK420" s="14"/>
      <c r="AL420" s="14"/>
      <c r="AM420" s="33"/>
      <c r="AN420" s="14"/>
      <c r="AO420" s="33"/>
      <c r="AP420" s="14"/>
      <c r="AQ420" s="14"/>
      <c r="AR420" s="14"/>
      <c r="AS420" s="14"/>
      <c r="AT420" s="14"/>
      <c r="AU420" s="14"/>
      <c r="AV420" s="14"/>
      <c r="AW420" s="14"/>
      <c r="AX420" s="14"/>
      <c r="AY420" s="34"/>
      <c r="AZ420" s="34"/>
      <c r="BA420" s="34"/>
      <c r="BB420" s="34"/>
      <c r="BC420" s="14"/>
      <c r="BD420" s="14"/>
      <c r="BE420" s="14"/>
      <c r="BF420" s="14"/>
      <c r="BG420" s="14"/>
      <c r="BH420" s="14"/>
      <c r="BI420" s="14"/>
      <c r="BK420" s="5"/>
      <c r="BL420" s="8"/>
      <c r="BM420" s="8"/>
      <c r="BN420" s="8"/>
    </row>
    <row r="421" spans="4:66" ht="12" hidden="1" thickBot="1">
      <c r="D421" s="17"/>
      <c r="N421" s="5"/>
      <c r="P421" s="5"/>
      <c r="AM421" s="7"/>
      <c r="AN421" s="5"/>
      <c r="AP421" s="5"/>
      <c r="BJ421" s="17"/>
      <c r="BK421" s="5"/>
      <c r="BL421" s="8"/>
      <c r="BM421" s="8"/>
      <c r="BN421" s="8"/>
    </row>
    <row r="422" spans="4:66" ht="12" hidden="1" thickBot="1">
      <c r="D422" s="17"/>
      <c r="N422" s="5"/>
      <c r="P422" s="5"/>
      <c r="AM422" s="7"/>
      <c r="AN422" s="5"/>
      <c r="AP422" s="5"/>
      <c r="BJ422" s="17"/>
      <c r="BK422" s="5"/>
      <c r="BL422" s="8"/>
      <c r="BM422" s="8"/>
      <c r="BN422" s="8"/>
    </row>
    <row r="423" spans="4:66" ht="12" hidden="1" thickBot="1">
      <c r="D423" s="17"/>
      <c r="N423" s="5"/>
      <c r="P423" s="5"/>
      <c r="AM423" s="7"/>
      <c r="AN423" s="5"/>
      <c r="AP423" s="5"/>
      <c r="BJ423" s="17"/>
      <c r="BK423" s="5"/>
      <c r="BL423" s="8"/>
      <c r="BM423" s="8"/>
      <c r="BN423" s="8"/>
    </row>
    <row r="424" spans="4:66" ht="12" hidden="1" thickBot="1">
      <c r="D424" s="17"/>
      <c r="N424" s="5"/>
      <c r="P424" s="5"/>
      <c r="AM424" s="7"/>
      <c r="AN424" s="5"/>
      <c r="AP424" s="5"/>
      <c r="BJ424" s="17"/>
      <c r="BK424" s="5"/>
      <c r="BL424" s="8"/>
      <c r="BM424" s="8"/>
      <c r="BN424" s="8"/>
    </row>
    <row r="425" spans="4:66" ht="12" hidden="1" thickBot="1">
      <c r="D425" s="17"/>
      <c r="N425" s="5"/>
      <c r="P425" s="5"/>
      <c r="AM425" s="7"/>
      <c r="AN425" s="5"/>
      <c r="AP425" s="5"/>
      <c r="BJ425" s="17"/>
      <c r="BK425" s="5"/>
      <c r="BL425" s="8"/>
      <c r="BM425" s="8"/>
      <c r="BN425" s="8"/>
    </row>
    <row r="426" spans="4:66" ht="12" hidden="1" thickBot="1">
      <c r="D426" s="17"/>
      <c r="N426" s="5"/>
      <c r="P426" s="5"/>
      <c r="AM426" s="7"/>
      <c r="AN426" s="5"/>
      <c r="AP426" s="5"/>
      <c r="BJ426" s="17"/>
      <c r="BK426" s="5"/>
      <c r="BL426" s="8"/>
      <c r="BM426" s="8"/>
      <c r="BN426" s="8"/>
    </row>
    <row r="427" spans="4:66" ht="12" hidden="1" thickBot="1">
      <c r="D427" s="17"/>
      <c r="N427" s="5"/>
      <c r="P427" s="5"/>
      <c r="AM427" s="7"/>
      <c r="AN427" s="5"/>
      <c r="AP427" s="5"/>
      <c r="BJ427" s="17"/>
      <c r="BK427" s="5"/>
      <c r="BL427" s="8"/>
      <c r="BM427" s="8"/>
      <c r="BN427" s="8"/>
    </row>
    <row r="428" spans="4:66" ht="12" hidden="1" thickBot="1">
      <c r="D428" s="17"/>
      <c r="N428" s="5"/>
      <c r="P428" s="5"/>
      <c r="AM428" s="7"/>
      <c r="AN428" s="5"/>
      <c r="AP428" s="5"/>
      <c r="BJ428" s="17"/>
      <c r="BK428" s="5"/>
      <c r="BL428" s="8"/>
      <c r="BM428" s="8"/>
      <c r="BN428" s="8"/>
    </row>
    <row r="429" spans="4:66" ht="12" hidden="1" thickBot="1">
      <c r="D429" s="17"/>
      <c r="N429" s="5"/>
      <c r="P429" s="5"/>
      <c r="AM429" s="7"/>
      <c r="AN429" s="5"/>
      <c r="AP429" s="5"/>
      <c r="BJ429" s="17"/>
      <c r="BK429" s="5"/>
      <c r="BL429" s="8"/>
      <c r="BM429" s="8"/>
      <c r="BN429" s="8"/>
    </row>
    <row r="430" spans="4:66" ht="12" hidden="1" thickBot="1">
      <c r="D430" s="17"/>
      <c r="N430" s="5"/>
      <c r="P430" s="5"/>
      <c r="AM430" s="7"/>
      <c r="AN430" s="5"/>
      <c r="AP430" s="5"/>
      <c r="BJ430" s="17"/>
      <c r="BK430" s="5"/>
      <c r="BL430" s="8"/>
      <c r="BM430" s="8"/>
      <c r="BN430" s="8"/>
    </row>
    <row r="431" spans="4:66" ht="12" hidden="1" thickBot="1">
      <c r="D431" s="17"/>
      <c r="N431" s="5"/>
      <c r="P431" s="5"/>
      <c r="AM431" s="7"/>
      <c r="AN431" s="5"/>
      <c r="AP431" s="5"/>
      <c r="BJ431" s="17"/>
      <c r="BK431" s="5"/>
      <c r="BL431" s="8"/>
      <c r="BM431" s="8"/>
      <c r="BN431" s="8"/>
    </row>
    <row r="432" spans="4:66" ht="12" hidden="1" thickBot="1">
      <c r="D432" s="17"/>
      <c r="N432" s="5"/>
      <c r="P432" s="5"/>
      <c r="AM432" s="7"/>
      <c r="AN432" s="5"/>
      <c r="AP432" s="5"/>
      <c r="BJ432" s="17"/>
      <c r="BK432" s="5"/>
      <c r="BL432" s="8"/>
      <c r="BM432" s="8"/>
      <c r="BN432" s="8"/>
    </row>
    <row r="433" spans="4:66" ht="12" hidden="1" thickBot="1">
      <c r="D433" s="17"/>
      <c r="N433" s="5"/>
      <c r="P433" s="5"/>
      <c r="AM433" s="7"/>
      <c r="AN433" s="5"/>
      <c r="AP433" s="5"/>
      <c r="BJ433" s="17"/>
      <c r="BK433" s="5"/>
      <c r="BL433" s="8"/>
      <c r="BM433" s="8"/>
      <c r="BN433" s="8"/>
    </row>
    <row r="434" spans="4:66" ht="12" hidden="1" thickBot="1">
      <c r="D434" s="17"/>
      <c r="N434" s="5"/>
      <c r="P434" s="5"/>
      <c r="AM434" s="7"/>
      <c r="AN434" s="5"/>
      <c r="AP434" s="5"/>
      <c r="BJ434" s="17"/>
      <c r="BK434" s="5"/>
      <c r="BL434" s="8"/>
      <c r="BM434" s="8"/>
      <c r="BN434" s="8"/>
    </row>
    <row r="435" spans="4:66" ht="12" hidden="1" thickBot="1">
      <c r="D435" s="17"/>
      <c r="N435" s="5"/>
      <c r="P435" s="5"/>
      <c r="AM435" s="7"/>
      <c r="AN435" s="5"/>
      <c r="AP435" s="5"/>
      <c r="BJ435" s="17"/>
      <c r="BK435" s="5"/>
      <c r="BL435" s="8"/>
      <c r="BM435" s="8"/>
      <c r="BN435" s="8"/>
    </row>
    <row r="436" spans="4:66" ht="12" hidden="1" thickBot="1">
      <c r="D436" s="17"/>
      <c r="N436" s="5"/>
      <c r="P436" s="5"/>
      <c r="AM436" s="7"/>
      <c r="AN436" s="5"/>
      <c r="AP436" s="5"/>
      <c r="BJ436" s="17"/>
      <c r="BK436" s="5"/>
      <c r="BL436" s="8"/>
      <c r="BM436" s="8"/>
      <c r="BN436" s="8"/>
    </row>
    <row r="437" spans="4:66" ht="12" hidden="1" thickBot="1">
      <c r="D437" s="17"/>
      <c r="N437" s="5"/>
      <c r="P437" s="5"/>
      <c r="AM437" s="7"/>
      <c r="AN437" s="5"/>
      <c r="AP437" s="5"/>
      <c r="BJ437" s="17"/>
      <c r="BK437" s="5"/>
      <c r="BL437" s="8"/>
      <c r="BM437" s="8"/>
      <c r="BN437" s="8"/>
    </row>
    <row r="438" spans="4:66" ht="12" hidden="1" thickBot="1">
      <c r="D438" s="17"/>
      <c r="N438" s="5"/>
      <c r="P438" s="5"/>
      <c r="AM438" s="7"/>
      <c r="AN438" s="5"/>
      <c r="AP438" s="5"/>
      <c r="BJ438" s="17"/>
      <c r="BK438" s="5"/>
      <c r="BL438" s="8"/>
      <c r="BM438" s="8"/>
      <c r="BN438" s="8"/>
    </row>
    <row r="439" spans="4:66" ht="12" hidden="1" thickBot="1">
      <c r="D439" s="17"/>
      <c r="N439" s="5"/>
      <c r="P439" s="5"/>
      <c r="AM439" s="7"/>
      <c r="AN439" s="5"/>
      <c r="AP439" s="5"/>
      <c r="BJ439" s="17"/>
      <c r="BK439" s="5"/>
      <c r="BL439" s="8"/>
      <c r="BM439" s="8"/>
      <c r="BN439" s="8"/>
    </row>
    <row r="440" spans="4:66" ht="12" hidden="1" thickBot="1">
      <c r="D440" s="17"/>
      <c r="N440" s="5"/>
      <c r="P440" s="5"/>
      <c r="AM440" s="7"/>
      <c r="AN440" s="5"/>
      <c r="AP440" s="5"/>
      <c r="BJ440" s="17"/>
      <c r="BK440" s="5"/>
      <c r="BL440" s="8"/>
      <c r="BM440" s="8"/>
      <c r="BN440" s="8"/>
    </row>
    <row r="441" spans="4:66" ht="12" hidden="1" thickBot="1">
      <c r="D441" s="17"/>
      <c r="N441" s="5"/>
      <c r="P441" s="5"/>
      <c r="AM441" s="7"/>
      <c r="AN441" s="5"/>
      <c r="AP441" s="5"/>
      <c r="BJ441" s="17"/>
      <c r="BK441" s="5"/>
      <c r="BL441" s="8"/>
      <c r="BM441" s="8"/>
      <c r="BN441" s="8"/>
    </row>
    <row r="442" spans="4:66" ht="12" hidden="1" thickBot="1">
      <c r="D442" s="17"/>
      <c r="N442" s="5"/>
      <c r="P442" s="5"/>
      <c r="AM442" s="7"/>
      <c r="AN442" s="5"/>
      <c r="AP442" s="5"/>
      <c r="BJ442" s="17"/>
      <c r="BK442" s="5"/>
      <c r="BL442" s="8"/>
      <c r="BM442" s="8"/>
      <c r="BN442" s="8"/>
    </row>
    <row r="443" spans="4:66" ht="12" hidden="1" thickBot="1">
      <c r="D443" s="17"/>
      <c r="N443" s="5"/>
      <c r="P443" s="5"/>
      <c r="AM443" s="7"/>
      <c r="AN443" s="5"/>
      <c r="AP443" s="5"/>
      <c r="BJ443" s="17"/>
      <c r="BK443" s="5"/>
      <c r="BL443" s="8"/>
      <c r="BM443" s="8"/>
      <c r="BN443" s="8"/>
    </row>
    <row r="444" spans="4:66" ht="12" hidden="1" thickBot="1">
      <c r="D444" s="17"/>
      <c r="N444" s="5"/>
      <c r="P444" s="5"/>
      <c r="AM444" s="7"/>
      <c r="AN444" s="5"/>
      <c r="AP444" s="5"/>
      <c r="BJ444" s="17"/>
      <c r="BK444" s="5"/>
      <c r="BL444" s="8"/>
      <c r="BM444" s="8"/>
      <c r="BN444" s="8"/>
    </row>
    <row r="445" spans="4:66" ht="12" hidden="1" thickBot="1">
      <c r="D445" s="17"/>
      <c r="N445" s="5"/>
      <c r="P445" s="5"/>
      <c r="AM445" s="7"/>
      <c r="AN445" s="5"/>
      <c r="AP445" s="5"/>
      <c r="BJ445" s="17"/>
      <c r="BK445" s="5"/>
      <c r="BL445" s="8"/>
      <c r="BM445" s="8"/>
      <c r="BN445" s="8"/>
    </row>
    <row r="446" spans="4:66" ht="12" hidden="1" thickBot="1">
      <c r="D446" s="17"/>
      <c r="N446" s="5"/>
      <c r="P446" s="5"/>
      <c r="AM446" s="7"/>
      <c r="AN446" s="5"/>
      <c r="AP446" s="5"/>
      <c r="BJ446" s="17"/>
      <c r="BK446" s="5"/>
      <c r="BL446" s="8"/>
      <c r="BM446" s="8"/>
      <c r="BN446" s="8"/>
    </row>
    <row r="447" spans="4:66" ht="12" hidden="1" thickBot="1">
      <c r="D447" s="17"/>
      <c r="N447" s="5"/>
      <c r="P447" s="5"/>
      <c r="AM447" s="7"/>
      <c r="AN447" s="5"/>
      <c r="AP447" s="5"/>
      <c r="BJ447" s="17"/>
      <c r="BK447" s="5"/>
      <c r="BL447" s="8"/>
      <c r="BM447" s="8"/>
      <c r="BN447" s="8"/>
    </row>
    <row r="448" spans="4:66" ht="12" hidden="1" thickBot="1">
      <c r="D448" s="17"/>
      <c r="N448" s="5"/>
      <c r="P448" s="5"/>
      <c r="AM448" s="7"/>
      <c r="AN448" s="5"/>
      <c r="AP448" s="5"/>
      <c r="BJ448" s="17"/>
      <c r="BK448" s="5"/>
      <c r="BL448" s="8"/>
      <c r="BM448" s="8"/>
      <c r="BN448" s="8"/>
    </row>
    <row r="449" spans="4:66" ht="12" hidden="1" thickBot="1">
      <c r="D449" s="17"/>
      <c r="N449" s="5"/>
      <c r="P449" s="5"/>
      <c r="AM449" s="7"/>
      <c r="AN449" s="5"/>
      <c r="AP449" s="5"/>
      <c r="BJ449" s="17"/>
      <c r="BK449" s="5"/>
      <c r="BL449" s="8"/>
      <c r="BM449" s="8"/>
      <c r="BN449" s="8"/>
    </row>
    <row r="450" spans="4:66" ht="12" hidden="1" thickBot="1">
      <c r="D450" s="17"/>
      <c r="N450" s="5"/>
      <c r="P450" s="5"/>
      <c r="AM450" s="7"/>
      <c r="AN450" s="5"/>
      <c r="AP450" s="5"/>
      <c r="BJ450" s="17"/>
      <c r="BK450" s="5"/>
      <c r="BL450" s="8"/>
      <c r="BM450" s="8"/>
      <c r="BN450" s="8"/>
    </row>
    <row r="451" spans="4:66" ht="12" hidden="1" thickBot="1">
      <c r="D451" s="17"/>
      <c r="N451" s="5"/>
      <c r="P451" s="5"/>
      <c r="AM451" s="7"/>
      <c r="AN451" s="5"/>
      <c r="AP451" s="5"/>
      <c r="BJ451" s="17"/>
      <c r="BK451" s="5"/>
      <c r="BL451" s="8"/>
      <c r="BM451" s="8"/>
      <c r="BN451" s="8"/>
    </row>
    <row r="452" spans="4:66" ht="12" hidden="1" thickBot="1">
      <c r="D452" s="17"/>
      <c r="N452" s="5"/>
      <c r="P452" s="5"/>
      <c r="AM452" s="7"/>
      <c r="AN452" s="5"/>
      <c r="AP452" s="5"/>
      <c r="BJ452" s="17"/>
      <c r="BK452" s="5"/>
      <c r="BL452" s="8"/>
      <c r="BM452" s="8"/>
      <c r="BN452" s="8"/>
    </row>
    <row r="453" spans="4:66" ht="12" hidden="1" thickBot="1">
      <c r="D453" s="17"/>
      <c r="N453" s="5"/>
      <c r="P453" s="5"/>
      <c r="AM453" s="7"/>
      <c r="AN453" s="5"/>
      <c r="AP453" s="5"/>
      <c r="BJ453" s="17"/>
      <c r="BK453" s="5"/>
      <c r="BL453" s="8"/>
      <c r="BM453" s="8"/>
      <c r="BN453" s="8"/>
    </row>
    <row r="454" spans="4:66" ht="12" hidden="1" thickBot="1">
      <c r="D454" s="17"/>
      <c r="N454" s="5"/>
      <c r="P454" s="5"/>
      <c r="AM454" s="7"/>
      <c r="AN454" s="5"/>
      <c r="AP454" s="5"/>
      <c r="BJ454" s="17"/>
      <c r="BK454" s="5"/>
      <c r="BL454" s="8"/>
      <c r="BM454" s="8"/>
      <c r="BN454" s="8"/>
    </row>
    <row r="455" spans="4:66" ht="12" hidden="1" thickBot="1">
      <c r="D455" s="17"/>
      <c r="N455" s="5"/>
      <c r="P455" s="5"/>
      <c r="AM455" s="7"/>
      <c r="AN455" s="5"/>
      <c r="AP455" s="5"/>
      <c r="BJ455" s="17"/>
      <c r="BK455" s="5"/>
      <c r="BL455" s="8"/>
      <c r="BM455" s="8"/>
      <c r="BN455" s="8"/>
    </row>
    <row r="456" spans="4:66" ht="12" hidden="1" thickBot="1">
      <c r="D456" s="17"/>
      <c r="N456" s="5"/>
      <c r="P456" s="5"/>
      <c r="AM456" s="7"/>
      <c r="AN456" s="5"/>
      <c r="AP456" s="5"/>
      <c r="BJ456" s="17"/>
      <c r="BK456" s="5"/>
      <c r="BL456" s="8"/>
      <c r="BM456" s="8"/>
      <c r="BN456" s="8"/>
    </row>
    <row r="457" spans="4:66" ht="12" hidden="1" thickBot="1">
      <c r="D457" s="17"/>
      <c r="N457" s="5"/>
      <c r="P457" s="5"/>
      <c r="AM457" s="7"/>
      <c r="AN457" s="5"/>
      <c r="AP457" s="5"/>
      <c r="BJ457" s="17"/>
      <c r="BK457" s="5"/>
      <c r="BL457" s="8"/>
      <c r="BM457" s="8"/>
      <c r="BN457" s="8"/>
    </row>
    <row r="458" spans="4:66" ht="12" hidden="1" thickBot="1">
      <c r="D458" s="17"/>
      <c r="N458" s="5"/>
      <c r="P458" s="5"/>
      <c r="AM458" s="7"/>
      <c r="AN458" s="5"/>
      <c r="AP458" s="5"/>
      <c r="BJ458" s="17"/>
      <c r="BK458" s="5"/>
      <c r="BL458" s="8"/>
      <c r="BM458" s="8"/>
      <c r="BN458" s="8"/>
    </row>
    <row r="459" spans="4:66" ht="12" hidden="1" thickBot="1">
      <c r="D459" s="17"/>
      <c r="N459" s="5"/>
      <c r="P459" s="5"/>
      <c r="AM459" s="7"/>
      <c r="AN459" s="5"/>
      <c r="AP459" s="5"/>
      <c r="BJ459" s="17"/>
      <c r="BK459" s="5"/>
      <c r="BL459" s="8"/>
      <c r="BM459" s="8"/>
      <c r="BN459" s="8"/>
    </row>
    <row r="460" spans="4:66" ht="12" hidden="1" thickBot="1">
      <c r="D460" s="17"/>
      <c r="N460" s="5"/>
      <c r="P460" s="5"/>
      <c r="AM460" s="7"/>
      <c r="AN460" s="5"/>
      <c r="AP460" s="5"/>
      <c r="BJ460" s="17"/>
      <c r="BK460" s="5"/>
      <c r="BL460" s="8"/>
      <c r="BM460" s="8"/>
      <c r="BN460" s="8"/>
    </row>
    <row r="461" spans="4:66" ht="12" hidden="1" thickBot="1">
      <c r="D461" s="17"/>
      <c r="N461" s="5"/>
      <c r="P461" s="5"/>
      <c r="AM461" s="7"/>
      <c r="AN461" s="5"/>
      <c r="AP461" s="5"/>
      <c r="BJ461" s="17"/>
      <c r="BK461" s="5"/>
      <c r="BL461" s="8"/>
      <c r="BM461" s="8"/>
      <c r="BN461" s="8"/>
    </row>
    <row r="462" spans="4:66" ht="12" hidden="1" thickBot="1">
      <c r="D462" s="17"/>
      <c r="N462" s="5"/>
      <c r="P462" s="5"/>
      <c r="AM462" s="7"/>
      <c r="AN462" s="5"/>
      <c r="AP462" s="5"/>
      <c r="BJ462" s="17"/>
      <c r="BK462" s="5"/>
      <c r="BL462" s="8"/>
      <c r="BM462" s="8"/>
      <c r="BN462" s="8"/>
    </row>
    <row r="463" spans="4:66" ht="12" hidden="1" thickBot="1">
      <c r="D463" s="17"/>
      <c r="N463" s="5"/>
      <c r="P463" s="5"/>
      <c r="AM463" s="7"/>
      <c r="AN463" s="5"/>
      <c r="AP463" s="5"/>
      <c r="BJ463" s="17"/>
      <c r="BK463" s="5"/>
      <c r="BL463" s="8"/>
      <c r="BM463" s="8"/>
      <c r="BN463" s="8"/>
    </row>
    <row r="464" spans="4:66" ht="12" hidden="1" thickBot="1">
      <c r="D464" s="17"/>
      <c r="N464" s="5"/>
      <c r="P464" s="5"/>
      <c r="AM464" s="7"/>
      <c r="AN464" s="5"/>
      <c r="AP464" s="5"/>
      <c r="BJ464" s="17"/>
      <c r="BK464" s="5"/>
      <c r="BL464" s="8"/>
      <c r="BM464" s="8"/>
      <c r="BN464" s="8"/>
    </row>
    <row r="465" spans="4:66" ht="12" hidden="1" thickBot="1">
      <c r="D465" s="17"/>
      <c r="N465" s="5"/>
      <c r="P465" s="5"/>
      <c r="AM465" s="7"/>
      <c r="AN465" s="5"/>
      <c r="AP465" s="5"/>
      <c r="BJ465" s="17"/>
      <c r="BK465" s="5"/>
      <c r="BL465" s="8"/>
      <c r="BM465" s="8"/>
      <c r="BN465" s="8"/>
    </row>
    <row r="466" spans="4:66" ht="12" hidden="1" thickBot="1">
      <c r="D466" s="17"/>
      <c r="N466" s="5"/>
      <c r="P466" s="5"/>
      <c r="AM466" s="7"/>
      <c r="AN466" s="5"/>
      <c r="AP466" s="5"/>
      <c r="BJ466" s="17"/>
      <c r="BK466" s="5"/>
      <c r="BL466" s="8"/>
      <c r="BM466" s="8"/>
      <c r="BN466" s="8"/>
    </row>
    <row r="467" spans="4:66" ht="12" hidden="1" thickBot="1">
      <c r="D467" s="17"/>
      <c r="N467" s="5"/>
      <c r="P467" s="5"/>
      <c r="AM467" s="7"/>
      <c r="AN467" s="5"/>
      <c r="AP467" s="5"/>
      <c r="BJ467" s="17"/>
      <c r="BK467" s="5"/>
      <c r="BL467" s="8"/>
      <c r="BM467" s="8"/>
      <c r="BN467" s="8"/>
    </row>
    <row r="468" spans="4:66" ht="12" hidden="1" thickBot="1">
      <c r="D468" s="17"/>
      <c r="N468" s="5"/>
      <c r="P468" s="5"/>
      <c r="AM468" s="7"/>
      <c r="AN468" s="5"/>
      <c r="AP468" s="5"/>
      <c r="BJ468" s="17"/>
      <c r="BK468" s="5"/>
      <c r="BL468" s="8"/>
      <c r="BM468" s="8"/>
      <c r="BN468" s="8"/>
    </row>
    <row r="469" spans="4:66" ht="12" hidden="1" thickBot="1">
      <c r="D469" s="17"/>
      <c r="N469" s="5"/>
      <c r="P469" s="5"/>
      <c r="AM469" s="7"/>
      <c r="AN469" s="5"/>
      <c r="AP469" s="5"/>
      <c r="BJ469" s="17"/>
      <c r="BK469" s="5"/>
      <c r="BL469" s="8"/>
      <c r="BM469" s="8"/>
      <c r="BN469" s="8"/>
    </row>
    <row r="470" spans="4:66" ht="12" hidden="1" thickBot="1">
      <c r="D470" s="17"/>
      <c r="N470" s="5"/>
      <c r="P470" s="5"/>
      <c r="AM470" s="7"/>
      <c r="AN470" s="5"/>
      <c r="AP470" s="5"/>
      <c r="BJ470" s="17"/>
      <c r="BK470" s="5"/>
      <c r="BL470" s="8"/>
      <c r="BM470" s="8"/>
      <c r="BN470" s="8"/>
    </row>
    <row r="471" spans="4:66" ht="12" hidden="1" thickBot="1">
      <c r="D471" s="17"/>
      <c r="N471" s="5"/>
      <c r="P471" s="5"/>
      <c r="AM471" s="7"/>
      <c r="AN471" s="5"/>
      <c r="AP471" s="5"/>
      <c r="BJ471" s="17"/>
      <c r="BK471" s="5"/>
      <c r="BL471" s="8"/>
      <c r="BM471" s="8"/>
      <c r="BN471" s="8"/>
    </row>
    <row r="472" spans="4:66" ht="12" hidden="1" thickBot="1">
      <c r="D472" s="17"/>
      <c r="N472" s="5"/>
      <c r="P472" s="5"/>
      <c r="AM472" s="7"/>
      <c r="AN472" s="5"/>
      <c r="AP472" s="5"/>
      <c r="BJ472" s="17"/>
      <c r="BK472" s="5"/>
      <c r="BL472" s="8"/>
      <c r="BM472" s="8"/>
      <c r="BN472" s="8"/>
    </row>
    <row r="473" spans="4:66" ht="12" hidden="1" thickBot="1">
      <c r="D473" s="17"/>
      <c r="N473" s="5"/>
      <c r="P473" s="5"/>
      <c r="AM473" s="7"/>
      <c r="AN473" s="5"/>
      <c r="AP473" s="5"/>
      <c r="BJ473" s="17"/>
      <c r="BK473" s="5"/>
      <c r="BL473" s="8"/>
      <c r="BM473" s="8"/>
      <c r="BN473" s="8"/>
    </row>
    <row r="474" spans="4:62" ht="12" hidden="1" thickBot="1">
      <c r="D474" s="17"/>
      <c r="BJ474" s="17"/>
    </row>
    <row r="475" spans="4:62" ht="12" hidden="1" thickBot="1">
      <c r="D475" s="17"/>
      <c r="BJ475" s="17"/>
    </row>
    <row r="476" spans="4:62" ht="12" hidden="1" thickBot="1">
      <c r="D476" s="17"/>
      <c r="BJ476" s="17"/>
    </row>
    <row r="477" spans="4:62" ht="12" hidden="1" thickBot="1">
      <c r="D477" s="17"/>
      <c r="BJ477" s="17"/>
    </row>
    <row r="478" spans="4:62" ht="12" hidden="1" thickBot="1">
      <c r="D478" s="17"/>
      <c r="BJ478" s="17"/>
    </row>
    <row r="479" spans="4:62" ht="12" hidden="1" thickBot="1">
      <c r="D479" s="17"/>
      <c r="BJ479" s="17"/>
    </row>
    <row r="480" spans="4:62" ht="12" hidden="1" thickBot="1">
      <c r="D480" s="17"/>
      <c r="BJ480" s="17"/>
    </row>
    <row r="481" spans="4:62" ht="12" hidden="1" thickBot="1">
      <c r="D481" s="17"/>
      <c r="BJ481" s="17"/>
    </row>
    <row r="482" spans="4:62" ht="12" hidden="1" thickBot="1">
      <c r="D482" s="17"/>
      <c r="BJ482" s="17"/>
    </row>
    <row r="483" spans="4:62" ht="12" hidden="1" thickBot="1">
      <c r="D483" s="17"/>
      <c r="BJ483" s="17"/>
    </row>
    <row r="484" spans="4:62" ht="12" hidden="1" thickBot="1">
      <c r="D484" s="17"/>
      <c r="BJ484" s="17"/>
    </row>
    <row r="485" spans="4:62" ht="12" hidden="1" thickBot="1">
      <c r="D485" s="17"/>
      <c r="BJ485" s="17"/>
    </row>
    <row r="486" spans="4:62" ht="12" hidden="1" thickBot="1">
      <c r="D486" s="17"/>
      <c r="BJ486" s="17"/>
    </row>
    <row r="487" spans="4:62" ht="12" hidden="1" thickBot="1">
      <c r="D487" s="17"/>
      <c r="BJ487" s="17"/>
    </row>
    <row r="488" spans="4:62" ht="12" hidden="1" thickBot="1">
      <c r="D488" s="17"/>
      <c r="BJ488" s="17"/>
    </row>
    <row r="489" spans="4:62" ht="12" hidden="1" thickBot="1">
      <c r="D489" s="17"/>
      <c r="BJ489" s="17"/>
    </row>
    <row r="490" spans="4:62" ht="12" hidden="1" thickBot="1">
      <c r="D490" s="17"/>
      <c r="BJ490" s="17"/>
    </row>
    <row r="491" spans="4:62" ht="12" hidden="1" thickBot="1">
      <c r="D491" s="17"/>
      <c r="BJ491" s="17"/>
    </row>
    <row r="492" spans="4:62" ht="12" hidden="1" thickBot="1">
      <c r="D492" s="17"/>
      <c r="BJ492" s="17"/>
    </row>
    <row r="493" spans="4:62" ht="12" hidden="1" thickBot="1">
      <c r="D493" s="17"/>
      <c r="BJ493" s="17"/>
    </row>
    <row r="494" spans="4:62" ht="12" hidden="1" thickBot="1">
      <c r="D494" s="17"/>
      <c r="BJ494" s="17"/>
    </row>
    <row r="495" spans="4:62" ht="12" hidden="1" thickBot="1">
      <c r="D495" s="17"/>
      <c r="BJ495" s="17"/>
    </row>
    <row r="496" spans="4:62" ht="12" hidden="1" thickBot="1">
      <c r="D496" s="17"/>
      <c r="BJ496" s="17"/>
    </row>
    <row r="497" spans="4:62" ht="12" hidden="1" thickBot="1">
      <c r="D497" s="17"/>
      <c r="BJ497" s="17"/>
    </row>
    <row r="498" spans="4:62" ht="12" hidden="1" thickBot="1">
      <c r="D498" s="17"/>
      <c r="BJ498" s="17"/>
    </row>
    <row r="499" spans="4:62" ht="12" hidden="1" thickBot="1">
      <c r="D499" s="17"/>
      <c r="BJ499" s="17"/>
    </row>
    <row r="500" spans="4:62" ht="12" hidden="1" thickBot="1">
      <c r="D500" s="17"/>
      <c r="BJ500" s="17"/>
    </row>
    <row r="501" spans="4:62" ht="12" hidden="1" thickBot="1">
      <c r="D501" s="17"/>
      <c r="BJ501" s="17"/>
    </row>
    <row r="502" spans="4:62" ht="12" hidden="1" thickBot="1">
      <c r="D502" s="17"/>
      <c r="BJ502" s="17"/>
    </row>
    <row r="503" spans="4:62" ht="12" hidden="1" thickBot="1">
      <c r="D503" s="17"/>
      <c r="BJ503" s="17"/>
    </row>
    <row r="504" spans="4:62" ht="12" hidden="1" thickBot="1">
      <c r="D504" s="17"/>
      <c r="BJ504" s="17"/>
    </row>
    <row r="505" spans="4:62" ht="12" hidden="1" thickBot="1">
      <c r="D505" s="17"/>
      <c r="BJ505" s="17"/>
    </row>
    <row r="506" spans="4:62" ht="12" hidden="1" thickBot="1">
      <c r="D506" s="17"/>
      <c r="BJ506" s="17"/>
    </row>
    <row r="507" spans="4:62" ht="12" hidden="1" thickBot="1">
      <c r="D507" s="17"/>
      <c r="BJ507" s="17"/>
    </row>
    <row r="508" spans="4:62" ht="12" hidden="1" thickBot="1">
      <c r="D508" s="17"/>
      <c r="BJ508" s="17"/>
    </row>
    <row r="509" spans="4:62" ht="12" hidden="1" thickBot="1">
      <c r="D509" s="17"/>
      <c r="BJ509" s="17"/>
    </row>
    <row r="510" spans="4:62" ht="12" hidden="1" thickBot="1">
      <c r="D510" s="17"/>
      <c r="BJ510" s="17"/>
    </row>
    <row r="511" spans="4:62" ht="12" hidden="1" thickBot="1">
      <c r="D511" s="17"/>
      <c r="BJ511" s="17"/>
    </row>
    <row r="512" spans="4:62" ht="12" hidden="1" thickBot="1">
      <c r="D512" s="17"/>
      <c r="BJ512" s="17"/>
    </row>
    <row r="513" spans="4:62" ht="12" hidden="1" thickBot="1">
      <c r="D513" s="17"/>
      <c r="BJ513" s="17"/>
    </row>
    <row r="514" spans="4:62" ht="12" hidden="1" thickBot="1">
      <c r="D514" s="17"/>
      <c r="BJ514" s="17"/>
    </row>
    <row r="515" spans="4:62" ht="12" hidden="1" thickBot="1">
      <c r="D515" s="17"/>
      <c r="BJ515" s="17"/>
    </row>
    <row r="516" spans="4:62" ht="12" hidden="1" thickBot="1">
      <c r="D516" s="17"/>
      <c r="BJ516" s="17"/>
    </row>
    <row r="517" spans="4:62" ht="12" hidden="1" thickBot="1">
      <c r="D517" s="17"/>
      <c r="BJ517" s="17"/>
    </row>
    <row r="518" spans="4:62" ht="12" hidden="1" thickBot="1">
      <c r="D518" s="17"/>
      <c r="BJ518" s="17"/>
    </row>
    <row r="519" spans="4:62" ht="12" hidden="1" thickBot="1">
      <c r="D519" s="17"/>
      <c r="BJ519" s="17"/>
    </row>
    <row r="520" spans="4:62" ht="12" hidden="1" thickBot="1">
      <c r="D520" s="17"/>
      <c r="BJ520" s="17"/>
    </row>
    <row r="521" spans="4:62" ht="12" hidden="1" thickBot="1">
      <c r="D521" s="17"/>
      <c r="BJ521" s="17"/>
    </row>
    <row r="522" spans="4:62" ht="12" hidden="1" thickBot="1">
      <c r="D522" s="17"/>
      <c r="BJ522" s="17"/>
    </row>
    <row r="523" spans="4:62" ht="12" hidden="1" thickBot="1">
      <c r="D523" s="17"/>
      <c r="BJ523" s="17"/>
    </row>
    <row r="524" spans="4:62" ht="12" hidden="1" thickBot="1">
      <c r="D524" s="17"/>
      <c r="BJ524" s="17"/>
    </row>
    <row r="525" spans="4:62" ht="12" hidden="1" thickBot="1">
      <c r="D525" s="17"/>
      <c r="BJ525" s="17"/>
    </row>
    <row r="526" spans="4:62" ht="12" hidden="1" thickBot="1">
      <c r="D526" s="17"/>
      <c r="BJ526" s="17"/>
    </row>
    <row r="527" spans="4:62" ht="12" hidden="1" thickBot="1">
      <c r="D527" s="17"/>
      <c r="BJ527" s="17"/>
    </row>
    <row r="528" spans="4:62" ht="12" hidden="1" thickBot="1">
      <c r="D528" s="17"/>
      <c r="BJ528" s="17"/>
    </row>
    <row r="529" spans="4:62" ht="12" hidden="1" thickBot="1">
      <c r="D529" s="17"/>
      <c r="BJ529" s="17"/>
    </row>
    <row r="530" spans="4:62" ht="12" hidden="1" thickBot="1">
      <c r="D530" s="17"/>
      <c r="BJ530" s="17"/>
    </row>
    <row r="531" spans="4:62" ht="12" hidden="1" thickBot="1">
      <c r="D531" s="17"/>
      <c r="BJ531" s="17"/>
    </row>
    <row r="532" spans="4:62" ht="12" hidden="1" thickBot="1">
      <c r="D532" s="17"/>
      <c r="BJ532" s="17"/>
    </row>
    <row r="533" spans="4:62" ht="12" hidden="1" thickBot="1">
      <c r="D533" s="17"/>
      <c r="BJ533" s="17"/>
    </row>
    <row r="534" spans="4:62" ht="12" hidden="1" thickBot="1">
      <c r="D534" s="17"/>
      <c r="BJ534" s="17"/>
    </row>
    <row r="535" spans="4:62" ht="12" hidden="1" thickBot="1">
      <c r="D535" s="17"/>
      <c r="BJ535" s="17"/>
    </row>
    <row r="536" spans="4:62" ht="12" hidden="1" thickBot="1">
      <c r="D536" s="17"/>
      <c r="BJ536" s="17"/>
    </row>
    <row r="537" spans="4:62" ht="12" hidden="1" thickBot="1">
      <c r="D537" s="17"/>
      <c r="BJ537" s="17"/>
    </row>
    <row r="538" spans="4:62" ht="12" hidden="1" thickBot="1">
      <c r="D538" s="17"/>
      <c r="BJ538" s="17"/>
    </row>
    <row r="539" spans="4:62" ht="12" hidden="1" thickBot="1">
      <c r="D539" s="17"/>
      <c r="BJ539" s="17"/>
    </row>
    <row r="540" spans="4:62" ht="12" hidden="1" thickBot="1">
      <c r="D540" s="17"/>
      <c r="BJ540" s="17"/>
    </row>
    <row r="541" spans="4:62" ht="12" hidden="1" thickBot="1">
      <c r="D541" s="17"/>
      <c r="BJ541" s="17"/>
    </row>
    <row r="542" spans="4:62" ht="12" hidden="1" thickBot="1">
      <c r="D542" s="17"/>
      <c r="BJ542" s="17"/>
    </row>
    <row r="543" spans="4:62" ht="12" hidden="1" thickBot="1">
      <c r="D543" s="17"/>
      <c r="BJ543" s="17"/>
    </row>
    <row r="544" spans="4:62" ht="12" hidden="1" thickBot="1">
      <c r="D544" s="17"/>
      <c r="BJ544" s="17"/>
    </row>
    <row r="545" spans="4:62" ht="12" hidden="1" thickBot="1">
      <c r="D545" s="17"/>
      <c r="BJ545" s="17"/>
    </row>
    <row r="546" spans="4:62" ht="12" hidden="1" thickBot="1">
      <c r="D546" s="17"/>
      <c r="BJ546" s="17"/>
    </row>
    <row r="547" spans="4:62" ht="12" hidden="1" thickBot="1">
      <c r="D547" s="17"/>
      <c r="BJ547" s="17"/>
    </row>
    <row r="548" spans="4:62" ht="12" hidden="1" thickBot="1">
      <c r="D548" s="17"/>
      <c r="BJ548" s="17"/>
    </row>
    <row r="549" spans="4:62" ht="12" hidden="1" thickBot="1">
      <c r="D549" s="17"/>
      <c r="BJ549" s="17"/>
    </row>
    <row r="550" spans="4:62" ht="12" hidden="1" thickBot="1">
      <c r="D550" s="17"/>
      <c r="BJ550" s="17"/>
    </row>
    <row r="551" spans="4:62" ht="12" hidden="1" thickBot="1">
      <c r="D551" s="17"/>
      <c r="BJ551" s="17"/>
    </row>
    <row r="552" spans="4:62" ht="12" hidden="1" thickBot="1">
      <c r="D552" s="17"/>
      <c r="BJ552" s="17"/>
    </row>
    <row r="553" spans="4:62" ht="12" hidden="1" thickBot="1">
      <c r="D553" s="17"/>
      <c r="BJ553" s="17"/>
    </row>
    <row r="554" spans="4:62" ht="12" hidden="1" thickBot="1">
      <c r="D554" s="17"/>
      <c r="BJ554" s="17"/>
    </row>
    <row r="555" spans="4:62" ht="12" hidden="1" thickBot="1">
      <c r="D555" s="17"/>
      <c r="BJ555" s="17"/>
    </row>
    <row r="556" spans="4:62" ht="12" hidden="1" thickBot="1">
      <c r="D556" s="17"/>
      <c r="BJ556" s="17"/>
    </row>
    <row r="557" spans="4:62" ht="12" hidden="1" thickBot="1">
      <c r="D557" s="17"/>
      <c r="BJ557" s="17"/>
    </row>
    <row r="558" spans="4:62" ht="12" hidden="1" thickBot="1">
      <c r="D558" s="17"/>
      <c r="BJ558" s="17"/>
    </row>
    <row r="559" spans="4:62" ht="12" hidden="1" thickBot="1">
      <c r="D559" s="17"/>
      <c r="BJ559" s="17"/>
    </row>
    <row r="560" spans="4:62" ht="12" hidden="1" thickBot="1">
      <c r="D560" s="17"/>
      <c r="BJ560" s="17"/>
    </row>
    <row r="561" spans="4:62" ht="12" hidden="1" thickBot="1">
      <c r="D561" s="17"/>
      <c r="BJ561" s="17"/>
    </row>
    <row r="562" spans="4:62" ht="12" hidden="1" thickBot="1">
      <c r="D562" s="17"/>
      <c r="BJ562" s="17"/>
    </row>
    <row r="563" spans="4:62" ht="12" hidden="1" thickBot="1">
      <c r="D563" s="17"/>
      <c r="BJ563" s="17"/>
    </row>
    <row r="564" spans="4:62" ht="12" hidden="1" thickBot="1">
      <c r="D564" s="17"/>
      <c r="BJ564" s="17"/>
    </row>
    <row r="565" spans="4:62" ht="12" hidden="1" thickBot="1">
      <c r="D565" s="17"/>
      <c r="BJ565" s="17"/>
    </row>
    <row r="566" spans="4:62" ht="12" hidden="1" thickBot="1">
      <c r="D566" s="17"/>
      <c r="BJ566" s="17"/>
    </row>
    <row r="567" spans="4:62" ht="12" hidden="1" thickBot="1">
      <c r="D567" s="17"/>
      <c r="BJ567" s="17"/>
    </row>
    <row r="568" spans="4:62" ht="12" hidden="1" thickBot="1">
      <c r="D568" s="17"/>
      <c r="BJ568" s="17"/>
    </row>
    <row r="569" spans="4:62" ht="12" hidden="1" thickBot="1">
      <c r="D569" s="17"/>
      <c r="BJ569" s="17"/>
    </row>
    <row r="570" spans="4:62" ht="12" hidden="1" thickBot="1">
      <c r="D570" s="17"/>
      <c r="BJ570" s="17"/>
    </row>
    <row r="571" spans="4:62" ht="12" hidden="1" thickBot="1">
      <c r="D571" s="17"/>
      <c r="BJ571" s="17"/>
    </row>
    <row r="572" spans="4:62" ht="12" hidden="1" thickBot="1">
      <c r="D572" s="17"/>
      <c r="BJ572" s="17"/>
    </row>
    <row r="573" spans="4:62" ht="12" hidden="1" thickBot="1">
      <c r="D573" s="17"/>
      <c r="BJ573" s="17"/>
    </row>
    <row r="574" spans="4:62" ht="12" hidden="1" thickBot="1">
      <c r="D574" s="17"/>
      <c r="BJ574" s="17"/>
    </row>
    <row r="575" spans="4:62" ht="12" hidden="1" thickBot="1">
      <c r="D575" s="17"/>
      <c r="BJ575" s="17"/>
    </row>
    <row r="576" spans="4:62" ht="12" hidden="1" thickBot="1">
      <c r="D576" s="17"/>
      <c r="BJ576" s="17"/>
    </row>
    <row r="577" spans="4:62" ht="12" hidden="1" thickBot="1">
      <c r="D577" s="17"/>
      <c r="BJ577" s="17"/>
    </row>
    <row r="578" spans="4:62" ht="12" hidden="1" thickBot="1">
      <c r="D578" s="17"/>
      <c r="BJ578" s="17"/>
    </row>
    <row r="579" spans="4:62" ht="12" hidden="1" thickBot="1">
      <c r="D579" s="17"/>
      <c r="BJ579" s="17"/>
    </row>
    <row r="580" spans="4:62" ht="12" hidden="1" thickBot="1">
      <c r="D580" s="17"/>
      <c r="BJ580" s="17"/>
    </row>
    <row r="581" spans="4:62" ht="12" hidden="1" thickBot="1">
      <c r="D581" s="17"/>
      <c r="BJ581" s="17"/>
    </row>
    <row r="582" spans="4:62" ht="12" hidden="1" thickBot="1">
      <c r="D582" s="17"/>
      <c r="BJ582" s="17"/>
    </row>
    <row r="583" spans="4:62" ht="12" hidden="1" thickBot="1">
      <c r="D583" s="17"/>
      <c r="BJ583" s="17"/>
    </row>
    <row r="584" spans="4:62" ht="12" hidden="1" thickBot="1">
      <c r="D584" s="17"/>
      <c r="BJ584" s="17"/>
    </row>
    <row r="585" spans="4:62" ht="12" hidden="1" thickBot="1">
      <c r="D585" s="17"/>
      <c r="BJ585" s="17"/>
    </row>
    <row r="586" spans="4:62" ht="12" hidden="1" thickBot="1">
      <c r="D586" s="17"/>
      <c r="BJ586" s="17"/>
    </row>
    <row r="587" spans="4:62" ht="12" hidden="1" thickBot="1">
      <c r="D587" s="17"/>
      <c r="BJ587" s="17"/>
    </row>
    <row r="588" spans="4:62" ht="12" hidden="1" thickBot="1">
      <c r="D588" s="17"/>
      <c r="BJ588" s="17"/>
    </row>
    <row r="589" spans="4:62" ht="12" hidden="1" thickBot="1">
      <c r="D589" s="17"/>
      <c r="BJ589" s="17"/>
    </row>
    <row r="590" spans="4:62" ht="12" hidden="1" thickBot="1">
      <c r="D590" s="17"/>
      <c r="BJ590" s="17"/>
    </row>
    <row r="591" spans="4:62" ht="12" hidden="1" thickBot="1">
      <c r="D591" s="17"/>
      <c r="BJ591" s="17"/>
    </row>
    <row r="592" spans="4:62" ht="12" hidden="1" thickBot="1">
      <c r="D592" s="17"/>
      <c r="BJ592" s="17"/>
    </row>
    <row r="593" spans="4:62" ht="12" hidden="1" thickBot="1">
      <c r="D593" s="17"/>
      <c r="BJ593" s="17"/>
    </row>
    <row r="594" spans="4:62" ht="12" hidden="1" thickBot="1">
      <c r="D594" s="17"/>
      <c r="BJ594" s="17"/>
    </row>
    <row r="595" spans="4:62" ht="12" hidden="1" thickBot="1">
      <c r="D595" s="17"/>
      <c r="BJ595" s="17"/>
    </row>
    <row r="596" spans="4:62" ht="12" hidden="1" thickBot="1">
      <c r="D596" s="17"/>
      <c r="BJ596" s="17"/>
    </row>
    <row r="597" spans="4:64" ht="12" hidden="1" thickBot="1">
      <c r="D597" s="17"/>
      <c r="BJ597" s="17"/>
      <c r="BL597" s="43"/>
    </row>
    <row r="598" spans="1:65" ht="13.5" thickBot="1">
      <c r="A598" s="81" t="s">
        <v>320</v>
      </c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45"/>
      <c r="BM598" s="42"/>
    </row>
    <row r="599" spans="1:65" ht="11.25">
      <c r="A599" s="65"/>
      <c r="B599" s="65"/>
      <c r="C599" s="65"/>
      <c r="D599" s="66"/>
      <c r="E599" s="67"/>
      <c r="F599" s="67"/>
      <c r="G599" s="67"/>
      <c r="H599" s="68"/>
      <c r="I599" s="67"/>
      <c r="J599" s="67"/>
      <c r="K599" s="67"/>
      <c r="L599" s="67"/>
      <c r="M599" s="69"/>
      <c r="N599" s="70"/>
      <c r="O599" s="67"/>
      <c r="P599" s="70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71"/>
      <c r="AN599" s="70"/>
      <c r="AO599" s="69"/>
      <c r="AP599" s="70"/>
      <c r="AQ599" s="67"/>
      <c r="AR599" s="67"/>
      <c r="AS599" s="67"/>
      <c r="AT599" s="67"/>
      <c r="AU599" s="67"/>
      <c r="AV599" s="67"/>
      <c r="AW599" s="67"/>
      <c r="AX599" s="67"/>
      <c r="AY599" s="72"/>
      <c r="AZ599" s="72"/>
      <c r="BA599" s="72"/>
      <c r="BB599" s="72"/>
      <c r="BC599" s="67"/>
      <c r="BD599" s="67"/>
      <c r="BE599" s="67"/>
      <c r="BF599" s="67"/>
      <c r="BG599" s="67"/>
      <c r="BH599" s="67"/>
      <c r="BI599" s="67"/>
      <c r="BJ599" s="66"/>
      <c r="BK599" s="70"/>
      <c r="BL599" s="48"/>
      <c r="BM599" s="42"/>
    </row>
    <row r="600" spans="1:65" ht="11.25">
      <c r="A600" s="48"/>
      <c r="B600" s="48"/>
      <c r="C600" s="48"/>
      <c r="D600" s="58"/>
      <c r="E600" s="59"/>
      <c r="F600" s="59"/>
      <c r="G600" s="59"/>
      <c r="H600" s="60"/>
      <c r="I600" s="59"/>
      <c r="J600" s="59"/>
      <c r="K600" s="59"/>
      <c r="L600" s="59"/>
      <c r="M600" s="61"/>
      <c r="N600" s="62"/>
      <c r="O600" s="59"/>
      <c r="P600" s="62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63"/>
      <c r="AN600" s="62"/>
      <c r="AO600" s="61"/>
      <c r="AP600" s="62"/>
      <c r="AQ600" s="59"/>
      <c r="AR600" s="59"/>
      <c r="AS600" s="59"/>
      <c r="AT600" s="59"/>
      <c r="AU600" s="59"/>
      <c r="AV600" s="59"/>
      <c r="AW600" s="59"/>
      <c r="AX600" s="59"/>
      <c r="AY600" s="64"/>
      <c r="AZ600" s="64"/>
      <c r="BA600" s="64"/>
      <c r="BB600" s="64"/>
      <c r="BC600" s="59"/>
      <c r="BD600" s="59"/>
      <c r="BE600" s="59"/>
      <c r="BF600" s="59"/>
      <c r="BG600" s="59"/>
      <c r="BH600" s="59"/>
      <c r="BI600" s="59"/>
      <c r="BJ600" s="58"/>
      <c r="BK600" s="62"/>
      <c r="BL600" s="48"/>
      <c r="BM600" s="42"/>
    </row>
    <row r="601" spans="1:65" ht="11.25">
      <c r="A601" s="48"/>
      <c r="B601" s="48"/>
      <c r="C601" s="48"/>
      <c r="D601" s="58"/>
      <c r="E601" s="59"/>
      <c r="F601" s="59"/>
      <c r="G601" s="59"/>
      <c r="H601" s="60"/>
      <c r="I601" s="59"/>
      <c r="J601" s="59"/>
      <c r="K601" s="59"/>
      <c r="L601" s="59"/>
      <c r="M601" s="61"/>
      <c r="N601" s="62"/>
      <c r="O601" s="59"/>
      <c r="P601" s="62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63"/>
      <c r="AN601" s="62"/>
      <c r="AO601" s="61"/>
      <c r="AP601" s="62"/>
      <c r="AQ601" s="59"/>
      <c r="AR601" s="59"/>
      <c r="AS601" s="59"/>
      <c r="AT601" s="59"/>
      <c r="AU601" s="59"/>
      <c r="AV601" s="59"/>
      <c r="AW601" s="59"/>
      <c r="AX601" s="59"/>
      <c r="AY601" s="64"/>
      <c r="AZ601" s="64"/>
      <c r="BA601" s="64"/>
      <c r="BB601" s="64"/>
      <c r="BC601" s="59"/>
      <c r="BD601" s="59"/>
      <c r="BE601" s="59"/>
      <c r="BF601" s="59"/>
      <c r="BG601" s="59"/>
      <c r="BH601" s="59"/>
      <c r="BI601" s="59"/>
      <c r="BJ601" s="58"/>
      <c r="BK601" s="62"/>
      <c r="BL601" s="48"/>
      <c r="BM601" s="42"/>
    </row>
    <row r="602" spans="1:65" ht="11.25">
      <c r="A602" s="48"/>
      <c r="B602" s="48"/>
      <c r="C602" s="48"/>
      <c r="D602" s="58"/>
      <c r="E602" s="59"/>
      <c r="F602" s="59"/>
      <c r="G602" s="59"/>
      <c r="H602" s="60"/>
      <c r="I602" s="59"/>
      <c r="J602" s="59"/>
      <c r="K602" s="59"/>
      <c r="L602" s="59"/>
      <c r="M602" s="61"/>
      <c r="N602" s="62"/>
      <c r="O602" s="59"/>
      <c r="P602" s="62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63"/>
      <c r="AN602" s="62"/>
      <c r="AO602" s="61"/>
      <c r="AP602" s="62"/>
      <c r="AQ602" s="59"/>
      <c r="AR602" s="59"/>
      <c r="AS602" s="59"/>
      <c r="AT602" s="59"/>
      <c r="AU602" s="59"/>
      <c r="AV602" s="59"/>
      <c r="AW602" s="59"/>
      <c r="AX602" s="59"/>
      <c r="AY602" s="64"/>
      <c r="AZ602" s="64"/>
      <c r="BA602" s="64"/>
      <c r="BB602" s="64"/>
      <c r="BC602" s="59"/>
      <c r="BD602" s="59"/>
      <c r="BE602" s="59"/>
      <c r="BF602" s="59"/>
      <c r="BG602" s="59"/>
      <c r="BH602" s="59"/>
      <c r="BI602" s="59"/>
      <c r="BJ602" s="58"/>
      <c r="BK602" s="62"/>
      <c r="BL602" s="48"/>
      <c r="BM602" s="42"/>
    </row>
    <row r="603" spans="1:65" ht="11.25">
      <c r="A603" s="48"/>
      <c r="B603" s="48"/>
      <c r="C603" s="48"/>
      <c r="D603" s="58"/>
      <c r="E603" s="59"/>
      <c r="F603" s="59"/>
      <c r="G603" s="59"/>
      <c r="H603" s="60"/>
      <c r="I603" s="59"/>
      <c r="J603" s="59"/>
      <c r="K603" s="59"/>
      <c r="L603" s="59"/>
      <c r="M603" s="61"/>
      <c r="N603" s="62"/>
      <c r="O603" s="59"/>
      <c r="P603" s="62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63"/>
      <c r="AN603" s="62"/>
      <c r="AO603" s="61"/>
      <c r="AP603" s="62"/>
      <c r="AQ603" s="59"/>
      <c r="AR603" s="59"/>
      <c r="AS603" s="59"/>
      <c r="AT603" s="59"/>
      <c r="AU603" s="59"/>
      <c r="AV603" s="59"/>
      <c r="AW603" s="59"/>
      <c r="AX603" s="59"/>
      <c r="AY603" s="64"/>
      <c r="AZ603" s="64"/>
      <c r="BA603" s="64"/>
      <c r="BB603" s="64"/>
      <c r="BC603" s="59"/>
      <c r="BD603" s="59"/>
      <c r="BE603" s="59"/>
      <c r="BF603" s="59"/>
      <c r="BG603" s="59"/>
      <c r="BH603" s="59"/>
      <c r="BI603" s="59"/>
      <c r="BJ603" s="58"/>
      <c r="BK603" s="62"/>
      <c r="BL603" s="48"/>
      <c r="BM603" s="42"/>
    </row>
    <row r="604" spans="1:65" ht="11.25">
      <c r="A604" s="48"/>
      <c r="B604" s="48"/>
      <c r="C604" s="48"/>
      <c r="D604" s="58"/>
      <c r="E604" s="59"/>
      <c r="F604" s="59"/>
      <c r="G604" s="59"/>
      <c r="H604" s="60"/>
      <c r="I604" s="59"/>
      <c r="J604" s="59"/>
      <c r="K604" s="59"/>
      <c r="L604" s="59"/>
      <c r="M604" s="61"/>
      <c r="N604" s="62"/>
      <c r="O604" s="59"/>
      <c r="P604" s="62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63"/>
      <c r="AN604" s="62"/>
      <c r="AO604" s="61"/>
      <c r="AP604" s="62"/>
      <c r="AQ604" s="59"/>
      <c r="AR604" s="59"/>
      <c r="AS604" s="59"/>
      <c r="AT604" s="59"/>
      <c r="AU604" s="59"/>
      <c r="AV604" s="59"/>
      <c r="AW604" s="59"/>
      <c r="AX604" s="59"/>
      <c r="AY604" s="64"/>
      <c r="AZ604" s="64"/>
      <c r="BA604" s="64"/>
      <c r="BB604" s="64"/>
      <c r="BC604" s="59"/>
      <c r="BD604" s="59"/>
      <c r="BE604" s="59"/>
      <c r="BF604" s="59"/>
      <c r="BG604" s="59"/>
      <c r="BH604" s="59"/>
      <c r="BI604" s="59"/>
      <c r="BJ604" s="58"/>
      <c r="BK604" s="62"/>
      <c r="BL604" s="48"/>
      <c r="BM604" s="42"/>
    </row>
    <row r="605" spans="1:65" ht="11.25">
      <c r="A605" s="48"/>
      <c r="B605" s="48"/>
      <c r="C605" s="48"/>
      <c r="D605" s="58"/>
      <c r="E605" s="59"/>
      <c r="F605" s="59"/>
      <c r="G605" s="59"/>
      <c r="H605" s="60"/>
      <c r="I605" s="59"/>
      <c r="J605" s="59"/>
      <c r="K605" s="59"/>
      <c r="L605" s="59"/>
      <c r="M605" s="61"/>
      <c r="N605" s="62"/>
      <c r="O605" s="59"/>
      <c r="P605" s="62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63"/>
      <c r="AN605" s="62"/>
      <c r="AO605" s="61"/>
      <c r="AP605" s="62"/>
      <c r="AQ605" s="59"/>
      <c r="AR605" s="59"/>
      <c r="AS605" s="59"/>
      <c r="AT605" s="59"/>
      <c r="AU605" s="59"/>
      <c r="AV605" s="59"/>
      <c r="AW605" s="59"/>
      <c r="AX605" s="59"/>
      <c r="AY605" s="64"/>
      <c r="AZ605" s="64"/>
      <c r="BA605" s="64"/>
      <c r="BB605" s="64"/>
      <c r="BC605" s="59"/>
      <c r="BD605" s="59"/>
      <c r="BE605" s="59"/>
      <c r="BF605" s="59"/>
      <c r="BG605" s="59"/>
      <c r="BH605" s="59"/>
      <c r="BI605" s="59"/>
      <c r="BJ605" s="58"/>
      <c r="BK605" s="62"/>
      <c r="BL605" s="48"/>
      <c r="BM605" s="42"/>
    </row>
    <row r="606" spans="1:65" ht="11.25">
      <c r="A606" s="48"/>
      <c r="B606" s="48"/>
      <c r="C606" s="48"/>
      <c r="D606" s="58"/>
      <c r="E606" s="59"/>
      <c r="F606" s="59"/>
      <c r="G606" s="59"/>
      <c r="H606" s="60"/>
      <c r="I606" s="59"/>
      <c r="J606" s="59"/>
      <c r="K606" s="59"/>
      <c r="L606" s="59"/>
      <c r="M606" s="61"/>
      <c r="N606" s="62"/>
      <c r="O606" s="59"/>
      <c r="P606" s="62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63"/>
      <c r="AN606" s="62"/>
      <c r="AO606" s="61"/>
      <c r="AP606" s="62"/>
      <c r="AQ606" s="59"/>
      <c r="AR606" s="59"/>
      <c r="AS606" s="59"/>
      <c r="AT606" s="59"/>
      <c r="AU606" s="59"/>
      <c r="AV606" s="59"/>
      <c r="AW606" s="59"/>
      <c r="AX606" s="59"/>
      <c r="AY606" s="64"/>
      <c r="AZ606" s="64"/>
      <c r="BA606" s="64"/>
      <c r="BB606" s="64"/>
      <c r="BC606" s="59"/>
      <c r="BD606" s="59"/>
      <c r="BE606" s="59"/>
      <c r="BF606" s="59"/>
      <c r="BG606" s="59"/>
      <c r="BH606" s="59"/>
      <c r="BI606" s="59"/>
      <c r="BJ606" s="58"/>
      <c r="BK606" s="62"/>
      <c r="BL606" s="48"/>
      <c r="BM606" s="42"/>
    </row>
    <row r="607" spans="1:65" ht="11.25">
      <c r="A607" s="48"/>
      <c r="B607" s="48"/>
      <c r="C607" s="48"/>
      <c r="D607" s="58"/>
      <c r="E607" s="59"/>
      <c r="F607" s="59"/>
      <c r="G607" s="59"/>
      <c r="H607" s="60"/>
      <c r="I607" s="59"/>
      <c r="J607" s="59"/>
      <c r="K607" s="59"/>
      <c r="L607" s="59"/>
      <c r="M607" s="61"/>
      <c r="N607" s="62"/>
      <c r="O607" s="59"/>
      <c r="P607" s="62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63"/>
      <c r="AN607" s="62"/>
      <c r="AO607" s="61"/>
      <c r="AP607" s="62"/>
      <c r="AQ607" s="59"/>
      <c r="AR607" s="59"/>
      <c r="AS607" s="59"/>
      <c r="AT607" s="59"/>
      <c r="AU607" s="59"/>
      <c r="AV607" s="59"/>
      <c r="AW607" s="59"/>
      <c r="AX607" s="59"/>
      <c r="AY607" s="64"/>
      <c r="AZ607" s="64"/>
      <c r="BA607" s="64"/>
      <c r="BB607" s="64"/>
      <c r="BC607" s="59"/>
      <c r="BD607" s="59"/>
      <c r="BE607" s="59"/>
      <c r="BF607" s="59"/>
      <c r="BG607" s="59"/>
      <c r="BH607" s="59"/>
      <c r="BI607" s="59"/>
      <c r="BJ607" s="58"/>
      <c r="BK607" s="62"/>
      <c r="BL607" s="48"/>
      <c r="BM607" s="42"/>
    </row>
    <row r="608" spans="1:65" ht="11.25">
      <c r="A608" s="48"/>
      <c r="B608" s="48"/>
      <c r="C608" s="48"/>
      <c r="D608" s="58"/>
      <c r="E608" s="59"/>
      <c r="F608" s="59"/>
      <c r="G608" s="59"/>
      <c r="H608" s="60"/>
      <c r="I608" s="59"/>
      <c r="J608" s="59"/>
      <c r="K608" s="59"/>
      <c r="L608" s="59"/>
      <c r="M608" s="61"/>
      <c r="N608" s="62"/>
      <c r="O608" s="59"/>
      <c r="P608" s="62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63"/>
      <c r="AN608" s="62"/>
      <c r="AO608" s="61"/>
      <c r="AP608" s="62"/>
      <c r="AQ608" s="59"/>
      <c r="AR608" s="59"/>
      <c r="AS608" s="59"/>
      <c r="AT608" s="59"/>
      <c r="AU608" s="59"/>
      <c r="AV608" s="59"/>
      <c r="AW608" s="59"/>
      <c r="AX608" s="59"/>
      <c r="AY608" s="64"/>
      <c r="AZ608" s="64"/>
      <c r="BA608" s="64"/>
      <c r="BB608" s="64"/>
      <c r="BC608" s="59"/>
      <c r="BD608" s="59"/>
      <c r="BE608" s="59"/>
      <c r="BF608" s="59"/>
      <c r="BG608" s="59"/>
      <c r="BH608" s="59"/>
      <c r="BI608" s="59"/>
      <c r="BJ608" s="58"/>
      <c r="BK608" s="62"/>
      <c r="BL608" s="48"/>
      <c r="BM608" s="42"/>
    </row>
    <row r="609" spans="1:65" ht="11.25">
      <c r="A609" s="48"/>
      <c r="B609" s="48"/>
      <c r="C609" s="48"/>
      <c r="D609" s="58"/>
      <c r="E609" s="59"/>
      <c r="F609" s="59"/>
      <c r="G609" s="59"/>
      <c r="H609" s="60"/>
      <c r="I609" s="59"/>
      <c r="J609" s="59"/>
      <c r="K609" s="59"/>
      <c r="L609" s="59"/>
      <c r="M609" s="61"/>
      <c r="N609" s="62"/>
      <c r="O609" s="59"/>
      <c r="P609" s="62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63"/>
      <c r="AN609" s="62"/>
      <c r="AO609" s="61"/>
      <c r="AP609" s="62"/>
      <c r="AQ609" s="59"/>
      <c r="AR609" s="59"/>
      <c r="AS609" s="59"/>
      <c r="AT609" s="59"/>
      <c r="AU609" s="59"/>
      <c r="AV609" s="59"/>
      <c r="AW609" s="59"/>
      <c r="AX609" s="59"/>
      <c r="AY609" s="64"/>
      <c r="AZ609" s="64"/>
      <c r="BA609" s="64"/>
      <c r="BB609" s="64"/>
      <c r="BC609" s="59"/>
      <c r="BD609" s="59"/>
      <c r="BE609" s="59"/>
      <c r="BF609" s="59"/>
      <c r="BG609" s="59"/>
      <c r="BH609" s="59"/>
      <c r="BI609" s="59"/>
      <c r="BJ609" s="58"/>
      <c r="BK609" s="62"/>
      <c r="BL609" s="48"/>
      <c r="BM609" s="42"/>
    </row>
    <row r="610" spans="1:65" ht="11.25">
      <c r="A610" s="48"/>
      <c r="B610" s="48"/>
      <c r="C610" s="48"/>
      <c r="D610" s="58"/>
      <c r="E610" s="59"/>
      <c r="F610" s="59"/>
      <c r="G610" s="59"/>
      <c r="H610" s="60"/>
      <c r="I610" s="59"/>
      <c r="J610" s="59"/>
      <c r="K610" s="59"/>
      <c r="L610" s="59"/>
      <c r="M610" s="61"/>
      <c r="N610" s="62"/>
      <c r="O610" s="59"/>
      <c r="P610" s="62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63"/>
      <c r="AN610" s="62"/>
      <c r="AO610" s="61"/>
      <c r="AP610" s="62"/>
      <c r="AQ610" s="59"/>
      <c r="AR610" s="59"/>
      <c r="AS610" s="59"/>
      <c r="AT610" s="59"/>
      <c r="AU610" s="59"/>
      <c r="AV610" s="59"/>
      <c r="AW610" s="59"/>
      <c r="AX610" s="59"/>
      <c r="AY610" s="64"/>
      <c r="AZ610" s="64"/>
      <c r="BA610" s="64"/>
      <c r="BB610" s="64"/>
      <c r="BC610" s="59"/>
      <c r="BD610" s="59"/>
      <c r="BE610" s="59"/>
      <c r="BF610" s="59"/>
      <c r="BG610" s="59"/>
      <c r="BH610" s="59"/>
      <c r="BI610" s="59"/>
      <c r="BJ610" s="58"/>
      <c r="BK610" s="62"/>
      <c r="BL610" s="48"/>
      <c r="BM610" s="42"/>
    </row>
    <row r="611" spans="1:65" ht="11.25">
      <c r="A611" s="48"/>
      <c r="B611" s="48"/>
      <c r="C611" s="48"/>
      <c r="D611" s="58"/>
      <c r="E611" s="59"/>
      <c r="F611" s="59"/>
      <c r="G611" s="59"/>
      <c r="H611" s="60"/>
      <c r="I611" s="59"/>
      <c r="J611" s="59"/>
      <c r="K611" s="59"/>
      <c r="L611" s="59"/>
      <c r="M611" s="61"/>
      <c r="N611" s="62"/>
      <c r="O611" s="59"/>
      <c r="P611" s="62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63"/>
      <c r="AN611" s="62"/>
      <c r="AO611" s="61"/>
      <c r="AP611" s="62"/>
      <c r="AQ611" s="59"/>
      <c r="AR611" s="59"/>
      <c r="AS611" s="59"/>
      <c r="AT611" s="59"/>
      <c r="AU611" s="59"/>
      <c r="AV611" s="59"/>
      <c r="AW611" s="59"/>
      <c r="AX611" s="59"/>
      <c r="AY611" s="64"/>
      <c r="AZ611" s="64"/>
      <c r="BA611" s="64"/>
      <c r="BB611" s="64"/>
      <c r="BC611" s="59"/>
      <c r="BD611" s="59"/>
      <c r="BE611" s="59"/>
      <c r="BF611" s="59"/>
      <c r="BG611" s="59"/>
      <c r="BH611" s="59"/>
      <c r="BI611" s="59"/>
      <c r="BJ611" s="58"/>
      <c r="BK611" s="62"/>
      <c r="BL611" s="48"/>
      <c r="BM611" s="42"/>
    </row>
    <row r="612" spans="1:65" ht="11.25">
      <c r="A612" s="48"/>
      <c r="B612" s="48"/>
      <c r="C612" s="48"/>
      <c r="D612" s="58"/>
      <c r="E612" s="59"/>
      <c r="F612" s="59"/>
      <c r="G612" s="59"/>
      <c r="H612" s="60"/>
      <c r="I612" s="59"/>
      <c r="J612" s="59"/>
      <c r="K612" s="59"/>
      <c r="L612" s="59"/>
      <c r="M612" s="61"/>
      <c r="N612" s="62"/>
      <c r="O612" s="59"/>
      <c r="P612" s="62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63"/>
      <c r="AN612" s="62"/>
      <c r="AO612" s="61"/>
      <c r="AP612" s="62"/>
      <c r="AQ612" s="59"/>
      <c r="AR612" s="59"/>
      <c r="AS612" s="59"/>
      <c r="AT612" s="59"/>
      <c r="AU612" s="59"/>
      <c r="AV612" s="59"/>
      <c r="AW612" s="59"/>
      <c r="AX612" s="59"/>
      <c r="AY612" s="64"/>
      <c r="AZ612" s="64"/>
      <c r="BA612" s="64"/>
      <c r="BB612" s="64"/>
      <c r="BC612" s="59"/>
      <c r="BD612" s="59"/>
      <c r="BE612" s="59"/>
      <c r="BF612" s="59"/>
      <c r="BG612" s="59"/>
      <c r="BH612" s="59"/>
      <c r="BI612" s="59"/>
      <c r="BJ612" s="58"/>
      <c r="BK612" s="62"/>
      <c r="BL612" s="48"/>
      <c r="BM612" s="42"/>
    </row>
    <row r="613" spans="1:65" ht="11.25">
      <c r="A613" s="48"/>
      <c r="B613" s="48"/>
      <c r="C613" s="48"/>
      <c r="D613" s="58"/>
      <c r="E613" s="59"/>
      <c r="F613" s="59"/>
      <c r="G613" s="59"/>
      <c r="H613" s="60"/>
      <c r="I613" s="59"/>
      <c r="J613" s="59"/>
      <c r="K613" s="59"/>
      <c r="L613" s="59"/>
      <c r="M613" s="61"/>
      <c r="N613" s="62"/>
      <c r="O613" s="59"/>
      <c r="P613" s="62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63"/>
      <c r="AN613" s="62"/>
      <c r="AO613" s="61"/>
      <c r="AP613" s="62"/>
      <c r="AQ613" s="59"/>
      <c r="AR613" s="59"/>
      <c r="AS613" s="59"/>
      <c r="AT613" s="59"/>
      <c r="AU613" s="59"/>
      <c r="AV613" s="59"/>
      <c r="AW613" s="59"/>
      <c r="AX613" s="59"/>
      <c r="AY613" s="64"/>
      <c r="AZ613" s="64"/>
      <c r="BA613" s="64"/>
      <c r="BB613" s="64"/>
      <c r="BC613" s="59"/>
      <c r="BD613" s="59"/>
      <c r="BE613" s="59"/>
      <c r="BF613" s="59"/>
      <c r="BG613" s="59"/>
      <c r="BH613" s="59"/>
      <c r="BI613" s="59"/>
      <c r="BJ613" s="58"/>
      <c r="BK613" s="62"/>
      <c r="BL613" s="48"/>
      <c r="BM613" s="42"/>
    </row>
    <row r="614" spans="1:65" ht="11.25">
      <c r="A614" s="48"/>
      <c r="B614" s="48"/>
      <c r="C614" s="48"/>
      <c r="D614" s="58"/>
      <c r="E614" s="59"/>
      <c r="F614" s="59"/>
      <c r="G614" s="59"/>
      <c r="H614" s="60"/>
      <c r="I614" s="59"/>
      <c r="J614" s="59"/>
      <c r="K614" s="59"/>
      <c r="L614" s="59"/>
      <c r="M614" s="61"/>
      <c r="N614" s="62"/>
      <c r="O614" s="59"/>
      <c r="P614" s="62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63"/>
      <c r="AN614" s="62"/>
      <c r="AO614" s="61"/>
      <c r="AP614" s="62"/>
      <c r="AQ614" s="59"/>
      <c r="AR614" s="59"/>
      <c r="AS614" s="59"/>
      <c r="AT614" s="59"/>
      <c r="AU614" s="59"/>
      <c r="AV614" s="59"/>
      <c r="AW614" s="59"/>
      <c r="AX614" s="59"/>
      <c r="AY614" s="64"/>
      <c r="AZ614" s="64"/>
      <c r="BA614" s="64"/>
      <c r="BB614" s="64"/>
      <c r="BC614" s="59"/>
      <c r="BD614" s="59"/>
      <c r="BE614" s="59"/>
      <c r="BF614" s="59"/>
      <c r="BG614" s="59"/>
      <c r="BH614" s="59"/>
      <c r="BI614" s="59"/>
      <c r="BJ614" s="58"/>
      <c r="BK614" s="62"/>
      <c r="BL614" s="48"/>
      <c r="BM614" s="42"/>
    </row>
    <row r="615" spans="1:65" ht="11.25">
      <c r="A615" s="48"/>
      <c r="B615" s="48"/>
      <c r="C615" s="48"/>
      <c r="D615" s="58"/>
      <c r="E615" s="59"/>
      <c r="F615" s="59"/>
      <c r="G615" s="59"/>
      <c r="H615" s="60"/>
      <c r="I615" s="59"/>
      <c r="J615" s="59"/>
      <c r="K615" s="59"/>
      <c r="L615" s="59"/>
      <c r="M615" s="61"/>
      <c r="N615" s="62"/>
      <c r="O615" s="59"/>
      <c r="P615" s="62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63"/>
      <c r="AN615" s="62"/>
      <c r="AO615" s="61"/>
      <c r="AP615" s="62"/>
      <c r="AQ615" s="59"/>
      <c r="AR615" s="59"/>
      <c r="AS615" s="59"/>
      <c r="AT615" s="59"/>
      <c r="AU615" s="59"/>
      <c r="AV615" s="59"/>
      <c r="AW615" s="59"/>
      <c r="AX615" s="59"/>
      <c r="AY615" s="64"/>
      <c r="AZ615" s="64"/>
      <c r="BA615" s="64"/>
      <c r="BB615" s="64"/>
      <c r="BC615" s="59"/>
      <c r="BD615" s="59"/>
      <c r="BE615" s="59"/>
      <c r="BF615" s="59"/>
      <c r="BG615" s="59"/>
      <c r="BH615" s="59"/>
      <c r="BI615" s="59"/>
      <c r="BJ615" s="58"/>
      <c r="BK615" s="62"/>
      <c r="BL615" s="48"/>
      <c r="BM615" s="42"/>
    </row>
    <row r="616" spans="1:65" ht="11.25">
      <c r="A616" s="48"/>
      <c r="B616" s="48"/>
      <c r="C616" s="48"/>
      <c r="D616" s="58"/>
      <c r="E616" s="59"/>
      <c r="F616" s="59"/>
      <c r="G616" s="59"/>
      <c r="H616" s="60"/>
      <c r="I616" s="59"/>
      <c r="J616" s="59"/>
      <c r="K616" s="59"/>
      <c r="L616" s="59"/>
      <c r="M616" s="61"/>
      <c r="N616" s="62"/>
      <c r="O616" s="59"/>
      <c r="P616" s="62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63"/>
      <c r="AN616" s="62"/>
      <c r="AO616" s="61"/>
      <c r="AP616" s="62"/>
      <c r="AQ616" s="59"/>
      <c r="AR616" s="59"/>
      <c r="AS616" s="59"/>
      <c r="AT616" s="59"/>
      <c r="AU616" s="59"/>
      <c r="AV616" s="59"/>
      <c r="AW616" s="59"/>
      <c r="AX616" s="59"/>
      <c r="AY616" s="64"/>
      <c r="AZ616" s="64"/>
      <c r="BA616" s="64"/>
      <c r="BB616" s="64"/>
      <c r="BC616" s="59"/>
      <c r="BD616" s="59"/>
      <c r="BE616" s="59"/>
      <c r="BF616" s="59"/>
      <c r="BG616" s="59"/>
      <c r="BH616" s="59"/>
      <c r="BI616" s="59"/>
      <c r="BJ616" s="58"/>
      <c r="BK616" s="62"/>
      <c r="BL616" s="48"/>
      <c r="BM616" s="42"/>
    </row>
    <row r="617" spans="1:65" ht="11.25">
      <c r="A617" s="48"/>
      <c r="B617" s="48"/>
      <c r="C617" s="48"/>
      <c r="D617" s="58"/>
      <c r="E617" s="59"/>
      <c r="F617" s="59"/>
      <c r="G617" s="59"/>
      <c r="H617" s="60"/>
      <c r="I617" s="59"/>
      <c r="J617" s="59"/>
      <c r="K617" s="59"/>
      <c r="L617" s="59"/>
      <c r="M617" s="61"/>
      <c r="N617" s="62"/>
      <c r="O617" s="59"/>
      <c r="P617" s="62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63"/>
      <c r="AN617" s="62"/>
      <c r="AO617" s="61"/>
      <c r="AP617" s="62"/>
      <c r="AQ617" s="59"/>
      <c r="AR617" s="59"/>
      <c r="AS617" s="59"/>
      <c r="AT617" s="59"/>
      <c r="AU617" s="59"/>
      <c r="AV617" s="59"/>
      <c r="AW617" s="59"/>
      <c r="AX617" s="59"/>
      <c r="AY617" s="64"/>
      <c r="AZ617" s="64"/>
      <c r="BA617" s="64"/>
      <c r="BB617" s="64"/>
      <c r="BC617" s="59"/>
      <c r="BD617" s="59"/>
      <c r="BE617" s="59"/>
      <c r="BF617" s="59"/>
      <c r="BG617" s="59"/>
      <c r="BH617" s="59"/>
      <c r="BI617" s="59"/>
      <c r="BJ617" s="58"/>
      <c r="BK617" s="62"/>
      <c r="BL617" s="48"/>
      <c r="BM617" s="42"/>
    </row>
    <row r="618" spans="1:65" ht="11.25">
      <c r="A618" s="48"/>
      <c r="B618" s="48"/>
      <c r="C618" s="48"/>
      <c r="D618" s="58"/>
      <c r="E618" s="59"/>
      <c r="F618" s="59"/>
      <c r="G618" s="59"/>
      <c r="H618" s="60"/>
      <c r="I618" s="59"/>
      <c r="J618" s="59"/>
      <c r="K618" s="59"/>
      <c r="L618" s="59"/>
      <c r="M618" s="61"/>
      <c r="N618" s="62"/>
      <c r="O618" s="59"/>
      <c r="P618" s="62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63"/>
      <c r="AN618" s="62"/>
      <c r="AO618" s="61"/>
      <c r="AP618" s="62"/>
      <c r="AQ618" s="59"/>
      <c r="AR618" s="59"/>
      <c r="AS618" s="59"/>
      <c r="AT618" s="59"/>
      <c r="AU618" s="59"/>
      <c r="AV618" s="59"/>
      <c r="AW618" s="59"/>
      <c r="AX618" s="59"/>
      <c r="AY618" s="64"/>
      <c r="AZ618" s="64"/>
      <c r="BA618" s="64"/>
      <c r="BB618" s="64"/>
      <c r="BC618" s="59"/>
      <c r="BD618" s="59"/>
      <c r="BE618" s="59"/>
      <c r="BF618" s="59"/>
      <c r="BG618" s="59"/>
      <c r="BH618" s="59"/>
      <c r="BI618" s="59"/>
      <c r="BJ618" s="58"/>
      <c r="BK618" s="62"/>
      <c r="BL618" s="48"/>
      <c r="BM618" s="42"/>
    </row>
    <row r="619" spans="1:65" ht="11.25">
      <c r="A619" s="48"/>
      <c r="B619" s="48"/>
      <c r="C619" s="48"/>
      <c r="D619" s="58"/>
      <c r="E619" s="59"/>
      <c r="F619" s="59"/>
      <c r="G619" s="59"/>
      <c r="H619" s="60"/>
      <c r="I619" s="59"/>
      <c r="J619" s="59"/>
      <c r="K619" s="59"/>
      <c r="L619" s="59"/>
      <c r="M619" s="61"/>
      <c r="N619" s="62"/>
      <c r="O619" s="59"/>
      <c r="P619" s="62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63"/>
      <c r="AN619" s="62"/>
      <c r="AO619" s="61"/>
      <c r="AP619" s="62"/>
      <c r="AQ619" s="59"/>
      <c r="AR619" s="59"/>
      <c r="AS619" s="59"/>
      <c r="AT619" s="59"/>
      <c r="AU619" s="59"/>
      <c r="AV619" s="59"/>
      <c r="AW619" s="59"/>
      <c r="AX619" s="59"/>
      <c r="AY619" s="64"/>
      <c r="AZ619" s="64"/>
      <c r="BA619" s="64"/>
      <c r="BB619" s="64"/>
      <c r="BC619" s="59"/>
      <c r="BD619" s="59"/>
      <c r="BE619" s="59"/>
      <c r="BF619" s="59"/>
      <c r="BG619" s="59"/>
      <c r="BH619" s="59"/>
      <c r="BI619" s="59"/>
      <c r="BJ619" s="58"/>
      <c r="BK619" s="62"/>
      <c r="BL619" s="48"/>
      <c r="BM619" s="42"/>
    </row>
    <row r="620" spans="1:65" ht="11.25">
      <c r="A620" s="48"/>
      <c r="B620" s="48"/>
      <c r="C620" s="48"/>
      <c r="D620" s="58"/>
      <c r="E620" s="59"/>
      <c r="F620" s="59"/>
      <c r="G620" s="59"/>
      <c r="H620" s="60"/>
      <c r="I620" s="59"/>
      <c r="J620" s="59"/>
      <c r="K620" s="59"/>
      <c r="L620" s="59"/>
      <c r="M620" s="61"/>
      <c r="N620" s="62"/>
      <c r="O620" s="59"/>
      <c r="P620" s="62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63"/>
      <c r="AN620" s="62"/>
      <c r="AO620" s="61"/>
      <c r="AP620" s="62"/>
      <c r="AQ620" s="59"/>
      <c r="AR620" s="59"/>
      <c r="AS620" s="59"/>
      <c r="AT620" s="59"/>
      <c r="AU620" s="59"/>
      <c r="AV620" s="59"/>
      <c r="AW620" s="59"/>
      <c r="AX620" s="59"/>
      <c r="AY620" s="64"/>
      <c r="AZ620" s="64"/>
      <c r="BA620" s="64"/>
      <c r="BB620" s="64"/>
      <c r="BC620" s="59"/>
      <c r="BD620" s="59"/>
      <c r="BE620" s="59"/>
      <c r="BF620" s="59"/>
      <c r="BG620" s="59"/>
      <c r="BH620" s="59"/>
      <c r="BI620" s="59"/>
      <c r="BJ620" s="58"/>
      <c r="BK620" s="62"/>
      <c r="BL620" s="48"/>
      <c r="BM620" s="42"/>
    </row>
    <row r="621" spans="1:65" ht="11.25">
      <c r="A621" s="48"/>
      <c r="B621" s="48"/>
      <c r="C621" s="48"/>
      <c r="D621" s="58"/>
      <c r="E621" s="59"/>
      <c r="F621" s="59"/>
      <c r="G621" s="59"/>
      <c r="H621" s="60"/>
      <c r="I621" s="59"/>
      <c r="J621" s="59"/>
      <c r="K621" s="59"/>
      <c r="L621" s="59"/>
      <c r="M621" s="61"/>
      <c r="N621" s="62"/>
      <c r="O621" s="59"/>
      <c r="P621" s="62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63"/>
      <c r="AN621" s="62"/>
      <c r="AO621" s="61"/>
      <c r="AP621" s="62"/>
      <c r="AQ621" s="59"/>
      <c r="AR621" s="59"/>
      <c r="AS621" s="59"/>
      <c r="AT621" s="59"/>
      <c r="AU621" s="59"/>
      <c r="AV621" s="59"/>
      <c r="AW621" s="59"/>
      <c r="AX621" s="59"/>
      <c r="AY621" s="64"/>
      <c r="AZ621" s="64"/>
      <c r="BA621" s="64"/>
      <c r="BB621" s="64"/>
      <c r="BC621" s="59"/>
      <c r="BD621" s="59"/>
      <c r="BE621" s="59"/>
      <c r="BF621" s="59"/>
      <c r="BG621" s="59"/>
      <c r="BH621" s="59"/>
      <c r="BI621" s="59"/>
      <c r="BJ621" s="58"/>
      <c r="BK621" s="62"/>
      <c r="BL621" s="48"/>
      <c r="BM621" s="42"/>
    </row>
    <row r="622" spans="1:65" ht="11.25">
      <c r="A622" s="48"/>
      <c r="B622" s="48"/>
      <c r="C622" s="48"/>
      <c r="D622" s="58"/>
      <c r="E622" s="59"/>
      <c r="F622" s="59"/>
      <c r="G622" s="59"/>
      <c r="H622" s="60"/>
      <c r="I622" s="59"/>
      <c r="J622" s="59"/>
      <c r="K622" s="59"/>
      <c r="L622" s="59"/>
      <c r="M622" s="61"/>
      <c r="N622" s="62"/>
      <c r="O622" s="59"/>
      <c r="P622" s="62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63"/>
      <c r="AN622" s="62"/>
      <c r="AO622" s="61"/>
      <c r="AP622" s="62"/>
      <c r="AQ622" s="59"/>
      <c r="AR622" s="59"/>
      <c r="AS622" s="59"/>
      <c r="AT622" s="59"/>
      <c r="AU622" s="59"/>
      <c r="AV622" s="59"/>
      <c r="AW622" s="59"/>
      <c r="AX622" s="59"/>
      <c r="AY622" s="64"/>
      <c r="AZ622" s="64"/>
      <c r="BA622" s="64"/>
      <c r="BB622" s="64"/>
      <c r="BC622" s="59"/>
      <c r="BD622" s="59"/>
      <c r="BE622" s="59"/>
      <c r="BF622" s="59"/>
      <c r="BG622" s="59"/>
      <c r="BH622" s="59"/>
      <c r="BI622" s="59"/>
      <c r="BJ622" s="58"/>
      <c r="BK622" s="62"/>
      <c r="BL622" s="48"/>
      <c r="BM622" s="42"/>
    </row>
    <row r="623" spans="1:65" ht="11.25">
      <c r="A623" s="48"/>
      <c r="B623" s="48"/>
      <c r="C623" s="48"/>
      <c r="D623" s="58"/>
      <c r="E623" s="59"/>
      <c r="F623" s="59"/>
      <c r="G623" s="59"/>
      <c r="H623" s="60"/>
      <c r="I623" s="59"/>
      <c r="J623" s="59"/>
      <c r="K623" s="59"/>
      <c r="L623" s="59"/>
      <c r="M623" s="61"/>
      <c r="N623" s="62"/>
      <c r="O623" s="59"/>
      <c r="P623" s="62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63"/>
      <c r="AN623" s="62"/>
      <c r="AO623" s="61"/>
      <c r="AP623" s="62"/>
      <c r="AQ623" s="59"/>
      <c r="AR623" s="59"/>
      <c r="AS623" s="59"/>
      <c r="AT623" s="59"/>
      <c r="AU623" s="59"/>
      <c r="AV623" s="59"/>
      <c r="AW623" s="59"/>
      <c r="AX623" s="59"/>
      <c r="AY623" s="64"/>
      <c r="AZ623" s="64"/>
      <c r="BA623" s="64"/>
      <c r="BB623" s="64"/>
      <c r="BC623" s="59"/>
      <c r="BD623" s="59"/>
      <c r="BE623" s="59"/>
      <c r="BF623" s="59"/>
      <c r="BG623" s="59"/>
      <c r="BH623" s="59"/>
      <c r="BI623" s="59"/>
      <c r="BJ623" s="58"/>
      <c r="BK623" s="62"/>
      <c r="BL623" s="48"/>
      <c r="BM623" s="42"/>
    </row>
    <row r="624" spans="1:65" ht="11.25">
      <c r="A624" s="48"/>
      <c r="B624" s="48"/>
      <c r="C624" s="48"/>
      <c r="D624" s="58"/>
      <c r="E624" s="59"/>
      <c r="F624" s="59"/>
      <c r="G624" s="59"/>
      <c r="H624" s="60"/>
      <c r="I624" s="59"/>
      <c r="J624" s="59"/>
      <c r="K624" s="59"/>
      <c r="L624" s="59"/>
      <c r="M624" s="61"/>
      <c r="N624" s="62"/>
      <c r="O624" s="59"/>
      <c r="P624" s="62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63"/>
      <c r="AN624" s="62"/>
      <c r="AO624" s="61"/>
      <c r="AP624" s="62"/>
      <c r="AQ624" s="59"/>
      <c r="AR624" s="59"/>
      <c r="AS624" s="59"/>
      <c r="AT624" s="59"/>
      <c r="AU624" s="59"/>
      <c r="AV624" s="59"/>
      <c r="AW624" s="59"/>
      <c r="AX624" s="59"/>
      <c r="AY624" s="64"/>
      <c r="AZ624" s="64"/>
      <c r="BA624" s="64"/>
      <c r="BB624" s="64"/>
      <c r="BC624" s="59"/>
      <c r="BD624" s="59"/>
      <c r="BE624" s="59"/>
      <c r="BF624" s="59"/>
      <c r="BG624" s="59"/>
      <c r="BH624" s="59"/>
      <c r="BI624" s="59"/>
      <c r="BJ624" s="58"/>
      <c r="BK624" s="62"/>
      <c r="BL624" s="48"/>
      <c r="BM624" s="42"/>
    </row>
    <row r="625" spans="1:65" ht="11.25">
      <c r="A625" s="48"/>
      <c r="B625" s="48"/>
      <c r="C625" s="48"/>
      <c r="D625" s="58"/>
      <c r="E625" s="59"/>
      <c r="F625" s="59"/>
      <c r="G625" s="59"/>
      <c r="H625" s="60"/>
      <c r="I625" s="59"/>
      <c r="J625" s="59"/>
      <c r="K625" s="59"/>
      <c r="L625" s="59"/>
      <c r="M625" s="61"/>
      <c r="N625" s="62"/>
      <c r="O625" s="59"/>
      <c r="P625" s="62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63"/>
      <c r="AN625" s="62"/>
      <c r="AO625" s="61"/>
      <c r="AP625" s="62"/>
      <c r="AQ625" s="59"/>
      <c r="AR625" s="59"/>
      <c r="AS625" s="59"/>
      <c r="AT625" s="59"/>
      <c r="AU625" s="59"/>
      <c r="AV625" s="59"/>
      <c r="AW625" s="59"/>
      <c r="AX625" s="59"/>
      <c r="AY625" s="64"/>
      <c r="AZ625" s="64"/>
      <c r="BA625" s="64"/>
      <c r="BB625" s="64"/>
      <c r="BC625" s="59"/>
      <c r="BD625" s="59"/>
      <c r="BE625" s="59"/>
      <c r="BF625" s="59"/>
      <c r="BG625" s="59"/>
      <c r="BH625" s="59"/>
      <c r="BI625" s="59"/>
      <c r="BJ625" s="58"/>
      <c r="BK625" s="62"/>
      <c r="BL625" s="48"/>
      <c r="BM625" s="42"/>
    </row>
    <row r="626" spans="1:65" ht="11.25">
      <c r="A626" s="48"/>
      <c r="B626" s="48"/>
      <c r="C626" s="48"/>
      <c r="D626" s="58"/>
      <c r="E626" s="59"/>
      <c r="F626" s="59"/>
      <c r="G626" s="59"/>
      <c r="H626" s="60"/>
      <c r="I626" s="59"/>
      <c r="J626" s="59"/>
      <c r="K626" s="59"/>
      <c r="L626" s="59"/>
      <c r="M626" s="61"/>
      <c r="N626" s="62"/>
      <c r="O626" s="59"/>
      <c r="P626" s="62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63"/>
      <c r="AN626" s="62"/>
      <c r="AO626" s="61"/>
      <c r="AP626" s="62"/>
      <c r="AQ626" s="59"/>
      <c r="AR626" s="59"/>
      <c r="AS626" s="59"/>
      <c r="AT626" s="59"/>
      <c r="AU626" s="59"/>
      <c r="AV626" s="59"/>
      <c r="AW626" s="59"/>
      <c r="AX626" s="59"/>
      <c r="AY626" s="64"/>
      <c r="AZ626" s="64"/>
      <c r="BA626" s="64"/>
      <c r="BB626" s="64"/>
      <c r="BC626" s="59"/>
      <c r="BD626" s="59"/>
      <c r="BE626" s="59"/>
      <c r="BF626" s="59"/>
      <c r="BG626" s="59"/>
      <c r="BH626" s="59"/>
      <c r="BI626" s="59"/>
      <c r="BJ626" s="58"/>
      <c r="BK626" s="62"/>
      <c r="BL626" s="48"/>
      <c r="BM626" s="42"/>
    </row>
    <row r="627" spans="1:65" ht="11.25">
      <c r="A627" s="48"/>
      <c r="B627" s="48"/>
      <c r="C627" s="48"/>
      <c r="D627" s="58"/>
      <c r="E627" s="59"/>
      <c r="F627" s="59"/>
      <c r="G627" s="59"/>
      <c r="H627" s="60"/>
      <c r="I627" s="59"/>
      <c r="J627" s="59"/>
      <c r="K627" s="59"/>
      <c r="L627" s="59"/>
      <c r="M627" s="61"/>
      <c r="N627" s="62"/>
      <c r="O627" s="59"/>
      <c r="P627" s="62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63"/>
      <c r="AN627" s="62"/>
      <c r="AO627" s="61"/>
      <c r="AP627" s="62"/>
      <c r="AQ627" s="59"/>
      <c r="AR627" s="59"/>
      <c r="AS627" s="59"/>
      <c r="AT627" s="59"/>
      <c r="AU627" s="59"/>
      <c r="AV627" s="59"/>
      <c r="AW627" s="59"/>
      <c r="AX627" s="59"/>
      <c r="AY627" s="64"/>
      <c r="AZ627" s="64"/>
      <c r="BA627" s="64"/>
      <c r="BB627" s="64"/>
      <c r="BC627" s="59"/>
      <c r="BD627" s="59"/>
      <c r="BE627" s="59"/>
      <c r="BF627" s="59"/>
      <c r="BG627" s="59"/>
      <c r="BH627" s="59"/>
      <c r="BI627" s="59"/>
      <c r="BJ627" s="58"/>
      <c r="BK627" s="62"/>
      <c r="BL627" s="48"/>
      <c r="BM627" s="42"/>
    </row>
    <row r="628" spans="1:64" ht="11.25">
      <c r="A628" s="44"/>
      <c r="B628" s="44"/>
      <c r="C628" s="44"/>
      <c r="D628" s="50"/>
      <c r="E628" s="51"/>
      <c r="F628" s="51"/>
      <c r="G628" s="51"/>
      <c r="H628" s="52"/>
      <c r="I628" s="51"/>
      <c r="J628" s="51"/>
      <c r="K628" s="51"/>
      <c r="L628" s="51"/>
      <c r="M628" s="53"/>
      <c r="N628" s="54"/>
      <c r="O628" s="51"/>
      <c r="P628" s="54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5"/>
      <c r="AD628" s="51"/>
      <c r="AE628" s="51"/>
      <c r="AF628" s="51"/>
      <c r="AG628" s="51"/>
      <c r="AH628" s="51"/>
      <c r="AI628" s="51"/>
      <c r="AJ628" s="51"/>
      <c r="AK628" s="51"/>
      <c r="AL628" s="51"/>
      <c r="AM628" s="56"/>
      <c r="AN628" s="54"/>
      <c r="AO628" s="53"/>
      <c r="AP628" s="54"/>
      <c r="AQ628" s="51"/>
      <c r="AR628" s="51"/>
      <c r="AS628" s="51"/>
      <c r="AT628" s="51"/>
      <c r="AU628" s="51"/>
      <c r="AV628" s="51"/>
      <c r="AW628" s="51"/>
      <c r="AX628" s="51"/>
      <c r="AY628" s="57"/>
      <c r="AZ628" s="57"/>
      <c r="BA628" s="57"/>
      <c r="BB628" s="57"/>
      <c r="BC628" s="51"/>
      <c r="BD628" s="51"/>
      <c r="BE628" s="51"/>
      <c r="BF628" s="51"/>
      <c r="BG628" s="51"/>
      <c r="BH628" s="51"/>
      <c r="BI628" s="51"/>
      <c r="BJ628" s="50"/>
      <c r="BK628" s="54"/>
      <c r="BL628" s="44"/>
    </row>
    <row r="629" spans="4:62" ht="11.25">
      <c r="D629" s="17"/>
      <c r="BJ629" s="17"/>
    </row>
    <row r="630" spans="4:62" ht="11.25">
      <c r="D630" s="17"/>
      <c r="BJ630" s="17"/>
    </row>
    <row r="631" spans="4:62" ht="11.25">
      <c r="D631" s="17"/>
      <c r="BJ631" s="17"/>
    </row>
    <row r="632" spans="4:62" ht="11.25">
      <c r="D632" s="17"/>
      <c r="BJ632" s="17"/>
    </row>
    <row r="633" spans="4:62" ht="11.25">
      <c r="D633" s="17"/>
      <c r="BJ633" s="17"/>
    </row>
    <row r="634" spans="4:62" ht="11.25">
      <c r="D634" s="17"/>
      <c r="BJ634" s="17"/>
    </row>
    <row r="635" spans="4:62" ht="11.25">
      <c r="D635" s="17"/>
      <c r="BJ635" s="17"/>
    </row>
    <row r="636" spans="4:62" ht="11.25">
      <c r="D636" s="17"/>
      <c r="BJ636" s="17"/>
    </row>
    <row r="637" spans="4:62" ht="11.25">
      <c r="D637" s="17"/>
      <c r="BJ637" s="17"/>
    </row>
    <row r="638" spans="4:62" ht="11.25">
      <c r="D638" s="17"/>
      <c r="BJ638" s="17"/>
    </row>
    <row r="639" spans="4:62" ht="11.25">
      <c r="D639" s="17"/>
      <c r="BJ639" s="17"/>
    </row>
    <row r="640" spans="4:62" ht="11.25">
      <c r="D640" s="17"/>
      <c r="BJ640" s="17"/>
    </row>
    <row r="641" spans="4:62" ht="11.25">
      <c r="D641" s="17"/>
      <c r="BJ641" s="17"/>
    </row>
    <row r="642" spans="4:62" ht="11.25">
      <c r="D642" s="17"/>
      <c r="BJ642" s="17"/>
    </row>
    <row r="643" spans="4:62" ht="11.25">
      <c r="D643" s="17"/>
      <c r="BJ643" s="17"/>
    </row>
    <row r="644" spans="4:62" ht="11.25">
      <c r="D644" s="17"/>
      <c r="BJ644" s="17"/>
    </row>
    <row r="645" spans="4:62" ht="11.25">
      <c r="D645" s="17"/>
      <c r="BJ645" s="17"/>
    </row>
    <row r="646" spans="4:62" ht="11.25">
      <c r="D646" s="17"/>
      <c r="BJ646" s="17"/>
    </row>
    <row r="647" spans="4:62" ht="11.25">
      <c r="D647" s="17"/>
      <c r="BJ647" s="17"/>
    </row>
    <row r="648" spans="4:62" ht="11.25">
      <c r="D648" s="17"/>
      <c r="BJ648" s="17"/>
    </row>
    <row r="649" spans="4:62" ht="11.25">
      <c r="D649" s="17"/>
      <c r="BJ649" s="17"/>
    </row>
    <row r="650" spans="4:62" ht="11.25">
      <c r="D650" s="17"/>
      <c r="BJ650" s="17"/>
    </row>
    <row r="651" spans="4:62" ht="11.25">
      <c r="D651" s="17"/>
      <c r="BJ651" s="17"/>
    </row>
    <row r="652" spans="4:62" ht="11.25">
      <c r="D652" s="17"/>
      <c r="BJ652" s="17"/>
    </row>
    <row r="653" spans="4:62" ht="11.25">
      <c r="D653" s="17"/>
      <c r="BJ653" s="17"/>
    </row>
    <row r="654" spans="4:62" ht="11.25">
      <c r="D654" s="17"/>
      <c r="BJ654" s="17"/>
    </row>
    <row r="655" spans="4:62" ht="11.25">
      <c r="D655" s="17"/>
      <c r="BJ655" s="17"/>
    </row>
    <row r="656" spans="4:62" ht="11.25">
      <c r="D656" s="17"/>
      <c r="BJ656" s="17"/>
    </row>
    <row r="657" spans="4:62" ht="11.25">
      <c r="D657" s="17"/>
      <c r="BJ657" s="17"/>
    </row>
    <row r="658" spans="4:62" ht="11.25">
      <c r="D658" s="17"/>
      <c r="BJ658" s="17"/>
    </row>
    <row r="659" spans="4:62" ht="11.25">
      <c r="D659" s="17"/>
      <c r="BJ659" s="17"/>
    </row>
    <row r="660" spans="4:62" ht="11.25">
      <c r="D660" s="17"/>
      <c r="BJ660" s="17"/>
    </row>
    <row r="661" spans="4:62" ht="11.25">
      <c r="D661" s="17"/>
      <c r="BJ661" s="17"/>
    </row>
    <row r="662" spans="4:62" ht="11.25">
      <c r="D662" s="17"/>
      <c r="BJ662" s="17"/>
    </row>
    <row r="663" spans="4:62" ht="11.25">
      <c r="D663" s="17"/>
      <c r="BJ663" s="17"/>
    </row>
    <row r="664" spans="4:62" ht="11.25">
      <c r="D664" s="17"/>
      <c r="BJ664" s="17"/>
    </row>
    <row r="665" spans="4:62" ht="11.25">
      <c r="D665" s="17"/>
      <c r="BJ665" s="17"/>
    </row>
    <row r="666" spans="4:62" ht="11.25">
      <c r="D666" s="17"/>
      <c r="BJ666" s="17"/>
    </row>
    <row r="667" spans="4:62" ht="11.25">
      <c r="D667" s="17"/>
      <c r="BJ667" s="17"/>
    </row>
    <row r="668" spans="4:62" ht="11.25">
      <c r="D668" s="17"/>
      <c r="BJ668" s="17"/>
    </row>
    <row r="669" spans="4:62" ht="11.25">
      <c r="D669" s="17"/>
      <c r="BJ669" s="17"/>
    </row>
    <row r="670" spans="4:62" ht="11.25">
      <c r="D670" s="17"/>
      <c r="BJ670" s="17"/>
    </row>
    <row r="671" spans="4:62" ht="11.25">
      <c r="D671" s="17"/>
      <c r="BJ671" s="17"/>
    </row>
    <row r="672" spans="4:62" ht="11.25">
      <c r="D672" s="17"/>
      <c r="BJ672" s="17"/>
    </row>
    <row r="673" spans="4:62" ht="11.25">
      <c r="D673" s="17"/>
      <c r="BJ673" s="17"/>
    </row>
    <row r="674" spans="4:62" ht="11.25">
      <c r="D674" s="17"/>
      <c r="BJ674" s="17"/>
    </row>
    <row r="675" spans="4:62" ht="11.25">
      <c r="D675" s="17"/>
      <c r="BJ675" s="17"/>
    </row>
    <row r="676" spans="4:62" ht="11.25">
      <c r="D676" s="17"/>
      <c r="BJ676" s="17"/>
    </row>
    <row r="677" spans="4:62" ht="11.25">
      <c r="D677" s="17"/>
      <c r="BJ677" s="17"/>
    </row>
    <row r="678" spans="4:62" ht="11.25">
      <c r="D678" s="17"/>
      <c r="BJ678" s="17"/>
    </row>
    <row r="679" spans="4:62" ht="11.25">
      <c r="D679" s="17"/>
      <c r="BJ679" s="17"/>
    </row>
    <row r="680" spans="4:62" ht="11.25">
      <c r="D680" s="17"/>
      <c r="BJ680" s="17"/>
    </row>
    <row r="681" spans="4:62" ht="11.25">
      <c r="D681" s="17"/>
      <c r="BJ681" s="17"/>
    </row>
    <row r="682" spans="4:62" ht="11.25">
      <c r="D682" s="17"/>
      <c r="BJ682" s="17"/>
    </row>
    <row r="683" spans="4:62" ht="11.25">
      <c r="D683" s="17"/>
      <c r="BJ683" s="17"/>
    </row>
    <row r="684" spans="4:62" ht="11.25">
      <c r="D684" s="17"/>
      <c r="BJ684" s="17"/>
    </row>
    <row r="685" spans="4:62" ht="11.25">
      <c r="D685" s="17"/>
      <c r="BJ685" s="17"/>
    </row>
    <row r="686" spans="4:62" ht="11.25">
      <c r="D686" s="17"/>
      <c r="BJ686" s="17"/>
    </row>
    <row r="687" spans="4:62" ht="11.25">
      <c r="D687" s="17"/>
      <c r="BJ687" s="17"/>
    </row>
    <row r="688" spans="4:62" ht="11.25">
      <c r="D688" s="17"/>
      <c r="BJ688" s="17"/>
    </row>
    <row r="689" spans="4:62" ht="11.25">
      <c r="D689" s="17"/>
      <c r="BJ689" s="17"/>
    </row>
    <row r="690" spans="4:62" ht="11.25">
      <c r="D690" s="17"/>
      <c r="BJ690" s="17"/>
    </row>
    <row r="691" spans="4:62" ht="11.25">
      <c r="D691" s="17"/>
      <c r="BJ691" s="17"/>
    </row>
    <row r="692" spans="4:62" ht="11.25">
      <c r="D692" s="17"/>
      <c r="BJ692" s="17"/>
    </row>
    <row r="693" spans="4:62" ht="11.25">
      <c r="D693" s="17"/>
      <c r="BJ693" s="17"/>
    </row>
    <row r="694" spans="4:62" ht="11.25">
      <c r="D694" s="17"/>
      <c r="BJ694" s="17"/>
    </row>
    <row r="695" spans="4:62" ht="11.25">
      <c r="D695" s="17"/>
      <c r="BJ695" s="17"/>
    </row>
    <row r="696" spans="4:62" ht="11.25">
      <c r="D696" s="17"/>
      <c r="BJ696" s="17"/>
    </row>
    <row r="697" spans="4:62" ht="11.25">
      <c r="D697" s="17"/>
      <c r="BJ697" s="17"/>
    </row>
    <row r="698" spans="4:62" ht="11.25">
      <c r="D698" s="17"/>
      <c r="BJ698" s="17"/>
    </row>
    <row r="699" spans="4:62" ht="11.25">
      <c r="D699" s="17"/>
      <c r="BJ699" s="17"/>
    </row>
    <row r="700" spans="4:62" ht="11.25">
      <c r="D700" s="17"/>
      <c r="BJ700" s="17"/>
    </row>
    <row r="701" spans="4:62" ht="11.25">
      <c r="D701" s="17"/>
      <c r="BJ701" s="17"/>
    </row>
    <row r="702" spans="4:62" ht="11.25">
      <c r="D702" s="17"/>
      <c r="BJ702" s="17"/>
    </row>
    <row r="703" spans="4:62" ht="11.25">
      <c r="D703" s="17"/>
      <c r="BJ703" s="17"/>
    </row>
    <row r="704" spans="4:62" ht="11.25">
      <c r="D704" s="17"/>
      <c r="BJ704" s="17"/>
    </row>
    <row r="705" spans="4:62" ht="11.25">
      <c r="D705" s="17"/>
      <c r="BJ705" s="17"/>
    </row>
    <row r="706" spans="4:62" ht="11.25">
      <c r="D706" s="17"/>
      <c r="BJ706" s="17"/>
    </row>
    <row r="707" spans="4:62" ht="11.25">
      <c r="D707" s="17"/>
      <c r="BJ707" s="17"/>
    </row>
    <row r="708" spans="4:62" ht="11.25">
      <c r="D708" s="17"/>
      <c r="BJ708" s="17"/>
    </row>
    <row r="709" spans="4:62" ht="11.25">
      <c r="D709" s="17"/>
      <c r="BJ709" s="17"/>
    </row>
    <row r="710" spans="4:62" ht="11.25">
      <c r="D710" s="17"/>
      <c r="BJ710" s="17"/>
    </row>
    <row r="711" spans="4:62" ht="11.25">
      <c r="D711" s="17"/>
      <c r="BJ711" s="17"/>
    </row>
    <row r="712" spans="4:62" ht="11.25">
      <c r="D712" s="17"/>
      <c r="BJ712" s="17"/>
    </row>
    <row r="713" spans="4:62" ht="11.25">
      <c r="D713" s="17"/>
      <c r="BJ713" s="17"/>
    </row>
    <row r="714" spans="4:62" ht="11.25">
      <c r="D714" s="17"/>
      <c r="BJ714" s="17"/>
    </row>
    <row r="715" spans="4:62" ht="11.25">
      <c r="D715" s="17"/>
      <c r="BJ715" s="17"/>
    </row>
    <row r="716" spans="4:62" ht="11.25">
      <c r="D716" s="17"/>
      <c r="BJ716" s="17"/>
    </row>
    <row r="717" spans="4:62" ht="11.25">
      <c r="D717" s="17"/>
      <c r="BJ717" s="17"/>
    </row>
    <row r="718" spans="4:62" ht="11.25">
      <c r="D718" s="17"/>
      <c r="BJ718" s="17"/>
    </row>
    <row r="719" spans="4:62" ht="11.25">
      <c r="D719" s="17"/>
      <c r="BJ719" s="17"/>
    </row>
    <row r="720" spans="4:62" ht="11.25">
      <c r="D720" s="17"/>
      <c r="BJ720" s="17"/>
    </row>
    <row r="721" spans="4:62" ht="11.25">
      <c r="D721" s="17"/>
      <c r="BJ721" s="17"/>
    </row>
    <row r="722" spans="4:62" ht="11.25">
      <c r="D722" s="17"/>
      <c r="BJ722" s="17"/>
    </row>
    <row r="723" spans="4:62" ht="11.25">
      <c r="D723" s="17"/>
      <c r="BJ723" s="17"/>
    </row>
    <row r="724" spans="4:62" ht="11.25">
      <c r="D724" s="17"/>
      <c r="BJ724" s="17"/>
    </row>
    <row r="725" spans="4:62" ht="11.25">
      <c r="D725" s="17"/>
      <c r="BJ725" s="17"/>
    </row>
    <row r="726" spans="4:62" ht="11.25">
      <c r="D726" s="17"/>
      <c r="BJ726" s="17"/>
    </row>
    <row r="727" spans="4:62" ht="11.25">
      <c r="D727" s="17"/>
      <c r="BJ727" s="17"/>
    </row>
    <row r="728" spans="4:62" ht="11.25">
      <c r="D728" s="17"/>
      <c r="BJ728" s="17"/>
    </row>
    <row r="729" spans="4:62" ht="11.25">
      <c r="D729" s="17"/>
      <c r="BJ729" s="17"/>
    </row>
    <row r="730" spans="4:62" ht="11.25">
      <c r="D730" s="17"/>
      <c r="BJ730" s="17"/>
    </row>
    <row r="731" spans="4:62" ht="11.25">
      <c r="D731" s="17"/>
      <c r="BJ731" s="17"/>
    </row>
    <row r="732" spans="4:62" ht="11.25">
      <c r="D732" s="17"/>
      <c r="BJ732" s="17"/>
    </row>
    <row r="733" spans="4:62" ht="11.25">
      <c r="D733" s="17"/>
      <c r="BJ733" s="17"/>
    </row>
    <row r="734" spans="4:62" ht="11.25">
      <c r="D734" s="17"/>
      <c r="BJ734" s="17"/>
    </row>
    <row r="735" spans="4:62" ht="11.25">
      <c r="D735" s="17"/>
      <c r="BJ735" s="17"/>
    </row>
    <row r="736" spans="4:62" ht="11.25">
      <c r="D736" s="17"/>
      <c r="BJ736" s="17"/>
    </row>
    <row r="737" spans="4:62" ht="11.25">
      <c r="D737" s="17"/>
      <c r="BJ737" s="17"/>
    </row>
    <row r="738" spans="4:62" ht="11.25">
      <c r="D738" s="17"/>
      <c r="BJ738" s="17"/>
    </row>
    <row r="739" spans="4:62" ht="11.25">
      <c r="D739" s="17"/>
      <c r="BJ739" s="17"/>
    </row>
    <row r="740" spans="4:62" ht="11.25">
      <c r="D740" s="17"/>
      <c r="BJ740" s="17"/>
    </row>
    <row r="741" spans="4:62" ht="11.25">
      <c r="D741" s="17"/>
      <c r="BJ741" s="17"/>
    </row>
    <row r="742" spans="4:62" ht="11.25">
      <c r="D742" s="17"/>
      <c r="BJ742" s="17"/>
    </row>
    <row r="743" spans="4:62" ht="11.25">
      <c r="D743" s="17"/>
      <c r="BJ743" s="17"/>
    </row>
    <row r="744" spans="4:62" ht="11.25">
      <c r="D744" s="17"/>
      <c r="BJ744" s="17"/>
    </row>
    <row r="745" spans="4:62" ht="11.25">
      <c r="D745" s="17"/>
      <c r="BJ745" s="17"/>
    </row>
    <row r="746" spans="4:62" ht="11.25">
      <c r="D746" s="17"/>
      <c r="BJ746" s="17"/>
    </row>
    <row r="747" spans="4:62" ht="11.25">
      <c r="D747" s="17"/>
      <c r="BJ747" s="17"/>
    </row>
    <row r="748" spans="4:62" ht="11.25">
      <c r="D748" s="17"/>
      <c r="BJ748" s="17"/>
    </row>
    <row r="749" spans="4:62" ht="11.25">
      <c r="D749" s="17"/>
      <c r="BJ749" s="17"/>
    </row>
    <row r="750" spans="4:62" ht="11.25">
      <c r="D750" s="17"/>
      <c r="BJ750" s="17"/>
    </row>
    <row r="751" spans="4:62" ht="11.25">
      <c r="D751" s="17"/>
      <c r="BJ751" s="17"/>
    </row>
    <row r="752" spans="4:62" ht="11.25">
      <c r="D752" s="17"/>
      <c r="BJ752" s="17"/>
    </row>
    <row r="753" spans="4:62" ht="11.25">
      <c r="D753" s="17"/>
      <c r="BJ753" s="17"/>
    </row>
    <row r="754" spans="4:62" ht="11.25">
      <c r="D754" s="17"/>
      <c r="BJ754" s="17"/>
    </row>
    <row r="755" spans="4:62" ht="11.25">
      <c r="D755" s="17"/>
      <c r="BJ755" s="17"/>
    </row>
    <row r="756" spans="4:62" ht="11.25">
      <c r="D756" s="17"/>
      <c r="BJ756" s="17"/>
    </row>
    <row r="757" spans="4:62" ht="11.25">
      <c r="D757" s="17"/>
      <c r="BJ757" s="17"/>
    </row>
    <row r="758" spans="4:62" ht="11.25">
      <c r="D758" s="17"/>
      <c r="BJ758" s="17"/>
    </row>
    <row r="759" spans="4:62" ht="11.25">
      <c r="D759" s="17"/>
      <c r="BJ759" s="17"/>
    </row>
    <row r="760" spans="4:62" ht="11.25">
      <c r="D760" s="17"/>
      <c r="BJ760" s="17"/>
    </row>
    <row r="761" spans="4:62" ht="11.25">
      <c r="D761" s="17"/>
      <c r="BJ761" s="17"/>
    </row>
    <row r="762" spans="4:62" ht="11.25">
      <c r="D762" s="17"/>
      <c r="BJ762" s="17"/>
    </row>
    <row r="763" spans="4:62" ht="11.25">
      <c r="D763" s="17"/>
      <c r="BJ763" s="17"/>
    </row>
    <row r="764" spans="4:62" ht="11.25">
      <c r="D764" s="17"/>
      <c r="BJ764" s="17"/>
    </row>
    <row r="765" spans="4:62" ht="11.25">
      <c r="D765" s="17"/>
      <c r="BJ765" s="17"/>
    </row>
    <row r="766" spans="4:62" ht="11.25">
      <c r="D766" s="17"/>
      <c r="BJ766" s="17"/>
    </row>
    <row r="767" spans="4:62" ht="11.25">
      <c r="D767" s="17"/>
      <c r="BJ767" s="17"/>
    </row>
    <row r="768" spans="4:62" ht="11.25">
      <c r="D768" s="17"/>
      <c r="BJ768" s="17"/>
    </row>
    <row r="769" spans="4:62" ht="11.25">
      <c r="D769" s="17"/>
      <c r="BJ769" s="17"/>
    </row>
    <row r="770" spans="4:62" ht="11.25">
      <c r="D770" s="17"/>
      <c r="BJ770" s="17"/>
    </row>
    <row r="771" spans="4:62" ht="11.25">
      <c r="D771" s="17"/>
      <c r="BJ771" s="17"/>
    </row>
    <row r="772" spans="4:62" ht="11.25">
      <c r="D772" s="17"/>
      <c r="BJ772" s="17"/>
    </row>
    <row r="773" spans="4:62" ht="11.25">
      <c r="D773" s="17"/>
      <c r="BJ773" s="17"/>
    </row>
    <row r="774" spans="4:62" ht="11.25">
      <c r="D774" s="17"/>
      <c r="BJ774" s="17"/>
    </row>
    <row r="775" spans="4:62" ht="11.25">
      <c r="D775" s="17"/>
      <c r="BJ775" s="17"/>
    </row>
    <row r="776" spans="4:62" ht="11.25">
      <c r="D776" s="17"/>
      <c r="BJ776" s="17"/>
    </row>
    <row r="777" spans="4:62" ht="11.25">
      <c r="D777" s="17"/>
      <c r="BJ777" s="17"/>
    </row>
    <row r="778" spans="4:62" ht="11.25">
      <c r="D778" s="17"/>
      <c r="BJ778" s="17"/>
    </row>
    <row r="779" spans="4:62" ht="11.25">
      <c r="D779" s="17"/>
      <c r="BJ779" s="17"/>
    </row>
    <row r="780" spans="4:62" ht="11.25">
      <c r="D780" s="17"/>
      <c r="BJ780" s="17"/>
    </row>
    <row r="781" spans="4:62" ht="11.25">
      <c r="D781" s="17"/>
      <c r="BJ781" s="17"/>
    </row>
    <row r="782" spans="4:62" ht="11.25">
      <c r="D782" s="17"/>
      <c r="BJ782" s="17"/>
    </row>
    <row r="783" spans="4:62" ht="11.25">
      <c r="D783" s="17"/>
      <c r="BJ783" s="17"/>
    </row>
    <row r="784" spans="4:62" ht="11.25">
      <c r="D784" s="17"/>
      <c r="BJ784" s="17"/>
    </row>
    <row r="785" spans="4:62" ht="11.25">
      <c r="D785" s="17"/>
      <c r="BJ785" s="17"/>
    </row>
    <row r="786" spans="4:62" ht="11.25">
      <c r="D786" s="17"/>
      <c r="BJ786" s="17"/>
    </row>
    <row r="787" spans="4:62" ht="11.25">
      <c r="D787" s="17"/>
      <c r="BJ787" s="17"/>
    </row>
    <row r="788" spans="4:62" ht="11.25">
      <c r="D788" s="17"/>
      <c r="BJ788" s="17"/>
    </row>
    <row r="789" spans="4:62" ht="11.25">
      <c r="D789" s="17"/>
      <c r="BJ789" s="17"/>
    </row>
    <row r="790" spans="4:62" ht="11.25">
      <c r="D790" s="17"/>
      <c r="BJ790" s="17"/>
    </row>
    <row r="791" spans="4:62" ht="11.25">
      <c r="D791" s="17"/>
      <c r="BJ791" s="17"/>
    </row>
    <row r="792" spans="4:62" ht="11.25">
      <c r="D792" s="17"/>
      <c r="BJ792" s="17"/>
    </row>
    <row r="793" spans="4:62" ht="11.25">
      <c r="D793" s="17"/>
      <c r="BJ793" s="17"/>
    </row>
    <row r="794" spans="4:62" ht="11.25">
      <c r="D794" s="17"/>
      <c r="BJ794" s="17"/>
    </row>
    <row r="795" spans="4:62" ht="11.25">
      <c r="D795" s="17"/>
      <c r="BJ795" s="17"/>
    </row>
    <row r="796" spans="4:62" ht="11.25">
      <c r="D796" s="17"/>
      <c r="BJ796" s="17"/>
    </row>
    <row r="797" spans="4:62" ht="11.25">
      <c r="D797" s="17"/>
      <c r="BJ797" s="17"/>
    </row>
    <row r="798" spans="4:62" ht="11.25">
      <c r="D798" s="17"/>
      <c r="BJ798" s="17"/>
    </row>
    <row r="799" spans="4:62" ht="11.25">
      <c r="D799" s="17"/>
      <c r="BJ799" s="17"/>
    </row>
    <row r="800" spans="4:62" ht="11.25">
      <c r="D800" s="17"/>
      <c r="BJ800" s="17"/>
    </row>
    <row r="801" spans="4:62" ht="11.25">
      <c r="D801" s="17"/>
      <c r="BJ801" s="17"/>
    </row>
    <row r="802" spans="4:62" ht="11.25">
      <c r="D802" s="17"/>
      <c r="BJ802" s="17"/>
    </row>
    <row r="803" spans="4:62" ht="11.25">
      <c r="D803" s="17"/>
      <c r="BJ803" s="17"/>
    </row>
    <row r="804" spans="4:62" ht="11.25">
      <c r="D804" s="17"/>
      <c r="BJ804" s="17"/>
    </row>
    <row r="805" spans="4:62" ht="11.25">
      <c r="D805" s="17"/>
      <c r="BJ805" s="17"/>
    </row>
    <row r="806" spans="4:62" ht="11.25">
      <c r="D806" s="17"/>
      <c r="BJ806" s="17"/>
    </row>
    <row r="807" spans="4:62" ht="11.25">
      <c r="D807" s="17"/>
      <c r="BJ807" s="17"/>
    </row>
    <row r="808" spans="4:62" ht="11.25">
      <c r="D808" s="17"/>
      <c r="BJ808" s="17"/>
    </row>
    <row r="809" spans="4:62" ht="11.25">
      <c r="D809" s="17"/>
      <c r="BJ809" s="17"/>
    </row>
    <row r="810" spans="4:62" ht="11.25">
      <c r="D810" s="17"/>
      <c r="BJ810" s="17"/>
    </row>
    <row r="811" spans="4:62" ht="11.25">
      <c r="D811" s="17"/>
      <c r="BJ811" s="17"/>
    </row>
    <row r="812" spans="4:62" ht="11.25">
      <c r="D812" s="17"/>
      <c r="BJ812" s="17"/>
    </row>
    <row r="813" spans="4:62" ht="11.25">
      <c r="D813" s="17"/>
      <c r="BJ813" s="17"/>
    </row>
    <row r="814" spans="4:62" ht="11.25">
      <c r="D814" s="17"/>
      <c r="BJ814" s="17"/>
    </row>
    <row r="815" spans="4:62" ht="11.25">
      <c r="D815" s="17"/>
      <c r="BJ815" s="17"/>
    </row>
    <row r="816" spans="4:62" ht="11.25">
      <c r="D816" s="17"/>
      <c r="BJ816" s="17"/>
    </row>
    <row r="817" spans="4:62" ht="11.25">
      <c r="D817" s="17"/>
      <c r="BJ817" s="17"/>
    </row>
    <row r="818" spans="4:62" ht="11.25">
      <c r="D818" s="17"/>
      <c r="BJ818" s="17"/>
    </row>
    <row r="819" spans="4:62" ht="11.25">
      <c r="D819" s="17"/>
      <c r="BJ819" s="17"/>
    </row>
    <row r="820" spans="4:62" ht="11.25">
      <c r="D820" s="17"/>
      <c r="BJ820" s="17"/>
    </row>
    <row r="821" spans="4:62" ht="11.25">
      <c r="D821" s="17"/>
      <c r="BJ821" s="17"/>
    </row>
    <row r="822" spans="4:62" ht="11.25">
      <c r="D822" s="17"/>
      <c r="BJ822" s="17"/>
    </row>
    <row r="823" spans="4:62" ht="11.25">
      <c r="D823" s="17"/>
      <c r="BJ823" s="17"/>
    </row>
    <row r="824" spans="4:62" ht="11.25">
      <c r="D824" s="17"/>
      <c r="BJ824" s="17"/>
    </row>
    <row r="825" spans="4:62" ht="11.25">
      <c r="D825" s="17"/>
      <c r="BJ825" s="17"/>
    </row>
    <row r="826" spans="4:62" ht="11.25">
      <c r="D826" s="17"/>
      <c r="BJ826" s="17"/>
    </row>
    <row r="827" spans="4:62" ht="11.25">
      <c r="D827" s="17"/>
      <c r="BJ827" s="17"/>
    </row>
    <row r="828" spans="4:62" ht="11.25">
      <c r="D828" s="17"/>
      <c r="BJ828" s="17"/>
    </row>
    <row r="829" spans="4:62" ht="11.25">
      <c r="D829" s="17"/>
      <c r="BJ829" s="17"/>
    </row>
    <row r="830" spans="4:62" ht="11.25">
      <c r="D830" s="17"/>
      <c r="BJ830" s="17"/>
    </row>
    <row r="831" spans="4:62" ht="11.25">
      <c r="D831" s="17"/>
      <c r="BJ831" s="17"/>
    </row>
    <row r="832" spans="4:62" ht="11.25">
      <c r="D832" s="17"/>
      <c r="BJ832" s="17"/>
    </row>
    <row r="833" spans="4:62" ht="11.25">
      <c r="D833" s="17"/>
      <c r="BJ833" s="17"/>
    </row>
    <row r="834" spans="4:62" ht="11.25">
      <c r="D834" s="17"/>
      <c r="BJ834" s="17"/>
    </row>
    <row r="835" spans="4:62" ht="11.25">
      <c r="D835" s="17"/>
      <c r="BJ835" s="17"/>
    </row>
    <row r="836" spans="4:62" ht="11.25">
      <c r="D836" s="17"/>
      <c r="BJ836" s="17"/>
    </row>
    <row r="837" spans="4:62" ht="11.25">
      <c r="D837" s="17"/>
      <c r="BJ837" s="17"/>
    </row>
    <row r="838" spans="4:62" ht="11.25">
      <c r="D838" s="17"/>
      <c r="BJ838" s="17"/>
    </row>
    <row r="839" spans="4:62" ht="11.25">
      <c r="D839" s="17"/>
      <c r="BJ839" s="17"/>
    </row>
    <row r="840" spans="4:62" ht="11.25">
      <c r="D840" s="17"/>
      <c r="BJ840" s="17"/>
    </row>
    <row r="841" spans="4:62" ht="11.25">
      <c r="D841" s="17"/>
      <c r="BJ841" s="17"/>
    </row>
    <row r="842" spans="4:62" ht="11.25">
      <c r="D842" s="17"/>
      <c r="BJ842" s="17"/>
    </row>
    <row r="843" spans="4:62" ht="11.25">
      <c r="D843" s="17"/>
      <c r="BJ843" s="17"/>
    </row>
    <row r="844" spans="4:62" ht="11.25">
      <c r="D844" s="17"/>
      <c r="BJ844" s="17"/>
    </row>
    <row r="845" spans="4:62" ht="11.25">
      <c r="D845" s="17"/>
      <c r="BJ845" s="17"/>
    </row>
    <row r="846" spans="4:62" ht="11.25">
      <c r="D846" s="17"/>
      <c r="BJ846" s="17"/>
    </row>
    <row r="847" spans="4:62" ht="11.25">
      <c r="D847" s="17"/>
      <c r="BJ847" s="17"/>
    </row>
    <row r="848" spans="4:62" ht="11.25">
      <c r="D848" s="17"/>
      <c r="BJ848" s="17"/>
    </row>
    <row r="849" spans="4:62" ht="11.25">
      <c r="D849" s="17"/>
      <c r="BJ849" s="17"/>
    </row>
    <row r="850" spans="4:62" ht="11.25">
      <c r="D850" s="17"/>
      <c r="BJ850" s="17"/>
    </row>
    <row r="851" spans="4:62" ht="11.25">
      <c r="D851" s="17"/>
      <c r="BJ851" s="17"/>
    </row>
    <row r="852" spans="4:62" ht="11.25">
      <c r="D852" s="17"/>
      <c r="BJ852" s="17"/>
    </row>
    <row r="853" spans="4:62" ht="11.25">
      <c r="D853" s="17"/>
      <c r="BJ853" s="17"/>
    </row>
    <row r="854" spans="4:62" ht="11.25">
      <c r="D854" s="17"/>
      <c r="BJ854" s="17"/>
    </row>
    <row r="855" spans="4:62" ht="11.25">
      <c r="D855" s="17"/>
      <c r="BJ855" s="17"/>
    </row>
    <row r="856" spans="4:62" ht="11.25">
      <c r="D856" s="17"/>
      <c r="BJ856" s="17"/>
    </row>
  </sheetData>
  <sheetProtection/>
  <mergeCells count="4">
    <mergeCell ref="BI3:BJ3"/>
    <mergeCell ref="A1:BL2"/>
    <mergeCell ref="B396:C396"/>
    <mergeCell ref="A598:BK59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2011-09-23T11:52:07Z</cp:lastPrinted>
  <dcterms:created xsi:type="dcterms:W3CDTF">1999-04-28T20:01:57Z</dcterms:created>
  <dcterms:modified xsi:type="dcterms:W3CDTF">2011-09-23T11:52:28Z</dcterms:modified>
  <cp:category/>
  <cp:version/>
  <cp:contentType/>
  <cp:contentStatus/>
</cp:coreProperties>
</file>